
<file path=[Content_Types].xml><?xml version="1.0" encoding="utf-8"?>
<Types xmlns="http://schemas.openxmlformats.org/package/2006/content-types">
  <Default Extension="bin" ContentType="application/vnd.openxmlformats-officedocument.spreadsheetml.printerSettings"/>
  <Default Extension="gif" ContentType="image/gi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codeName="ThisWorkbook"/>
  <mc:AlternateContent xmlns:mc="http://schemas.openxmlformats.org/markup-compatibility/2006">
    <mc:Choice Requires="x15">
      <x15ac:absPath xmlns:x15ac="http://schemas.microsoft.com/office/spreadsheetml/2010/11/ac" url="C:\Users\cmolli\Desktop\IDS Estimate\"/>
    </mc:Choice>
  </mc:AlternateContent>
  <xr:revisionPtr revIDLastSave="0" documentId="13_ncr:1_{B24A828B-8E71-4D3B-8572-68927A37936F}" xr6:coauthVersionLast="44" xr6:coauthVersionMax="44" xr10:uidLastSave="{00000000-0000-0000-0000-000000000000}"/>
  <bookViews>
    <workbookView xWindow="11424" yWindow="-2814" windowWidth="19632" windowHeight="12552" tabRatio="627" xr2:uid="{00000000-000D-0000-FFFF-FFFF00000000}"/>
  </bookViews>
  <sheets>
    <sheet name="Instructions" sheetId="13" r:id="rId1"/>
    <sheet name="Protocol Cover Sheet" sheetId="1" r:id="rId2"/>
    <sheet name="Startup" sheetId="4" r:id="rId3"/>
    <sheet name="Maintenence" sheetId="8" r:id="rId4"/>
    <sheet name="Services &amp; Meds" sheetId="2" r:id="rId5"/>
    <sheet name="Services" sheetId="6" state="hidden" r:id="rId6"/>
    <sheet name="Testing" sheetId="7" state="hidden" r:id="rId7"/>
    <sheet name="Drug Prices" sheetId="12" r:id="rId8"/>
    <sheet name="Estimate Details" sheetId="11" r:id="rId9"/>
  </sheets>
  <definedNames>
    <definedName name="_xlnm.Print_Area" localSheetId="4">'Services &amp; Meds'!$A$1:$H$43</definedName>
    <definedName name="_xlnm.Print_Titles" localSheetId="5">Services!$1:$1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Q27" i="2" l="1"/>
  <c r="Q26" i="2"/>
  <c r="R17" i="2"/>
  <c r="R18" i="2"/>
  <c r="R19" i="2"/>
  <c r="R20" i="2"/>
  <c r="R21" i="2"/>
  <c r="R22" i="2"/>
  <c r="R23" i="2"/>
  <c r="Q17" i="2"/>
  <c r="Q18" i="2"/>
  <c r="Q19" i="2"/>
  <c r="Q20" i="2"/>
  <c r="Q21" i="2"/>
  <c r="Q22" i="2"/>
  <c r="Q23" i="2"/>
  <c r="Q24" i="2"/>
  <c r="R3" i="2"/>
  <c r="R4" i="2"/>
  <c r="R5" i="2"/>
  <c r="R6" i="2"/>
  <c r="R7" i="2"/>
  <c r="R8" i="2"/>
  <c r="Q3" i="2"/>
  <c r="Q4" i="2"/>
  <c r="Q5" i="2"/>
  <c r="Q6" i="2"/>
  <c r="Q7" i="2"/>
  <c r="Q8" i="2"/>
  <c r="B51" i="4"/>
  <c r="R14" i="2" l="1"/>
  <c r="R16" i="2"/>
  <c r="J10" i="2"/>
  <c r="R12" i="2" s="1"/>
  <c r="J11" i="2"/>
  <c r="R15" i="2" s="1"/>
  <c r="J12" i="2"/>
  <c r="J13" i="2"/>
  <c r="R10" i="2" s="1"/>
  <c r="J14" i="2"/>
  <c r="J15" i="2"/>
  <c r="J16" i="2"/>
  <c r="J17" i="2"/>
  <c r="J9" i="2"/>
  <c r="R33" i="2" l="1"/>
  <c r="R13" i="2"/>
  <c r="R11" i="2"/>
  <c r="R9" i="2"/>
  <c r="T10" i="2"/>
  <c r="T9" i="2"/>
  <c r="T11" i="2"/>
  <c r="T12" i="2"/>
  <c r="T13" i="2"/>
  <c r="T14" i="2"/>
  <c r="T15" i="2"/>
  <c r="T16" i="2"/>
  <c r="E23" i="4" l="1"/>
  <c r="C24" i="4" l="1"/>
  <c r="O27" i="1" l="1"/>
  <c r="Q27" i="1" s="1"/>
  <c r="O35" i="1"/>
  <c r="P35" i="1" s="1"/>
  <c r="O34" i="1"/>
  <c r="P34" i="1" s="1"/>
  <c r="E36" i="1"/>
  <c r="X1" i="2"/>
  <c r="H3" i="11"/>
  <c r="K3" i="11" s="1"/>
  <c r="K36" i="11"/>
  <c r="K37" i="11"/>
  <c r="K38" i="11"/>
  <c r="K39" i="11"/>
  <c r="K40" i="11"/>
  <c r="K41" i="11"/>
  <c r="K42" i="11"/>
  <c r="K43" i="11"/>
  <c r="K44" i="11"/>
  <c r="K45" i="11"/>
  <c r="K46" i="11"/>
  <c r="K47" i="11"/>
  <c r="K48" i="11"/>
  <c r="K49" i="11"/>
  <c r="K50" i="11"/>
  <c r="K51" i="11"/>
  <c r="K52" i="11"/>
  <c r="K53" i="11"/>
  <c r="J36" i="11"/>
  <c r="J37" i="11"/>
  <c r="J38" i="11"/>
  <c r="J39" i="11"/>
  <c r="J40" i="11"/>
  <c r="J41" i="11"/>
  <c r="J42" i="11"/>
  <c r="J43" i="11"/>
  <c r="J44" i="11"/>
  <c r="J45" i="11"/>
  <c r="J46" i="11"/>
  <c r="J47" i="11"/>
  <c r="J48" i="11"/>
  <c r="J49" i="11"/>
  <c r="J50" i="11"/>
  <c r="J51" i="11"/>
  <c r="J52" i="11"/>
  <c r="J53" i="11"/>
  <c r="I36" i="11"/>
  <c r="I37" i="11"/>
  <c r="I38" i="11"/>
  <c r="I39" i="11"/>
  <c r="I40" i="11"/>
  <c r="I41" i="11"/>
  <c r="I42" i="11"/>
  <c r="I43" i="11"/>
  <c r="I44" i="11"/>
  <c r="I45" i="11"/>
  <c r="I46" i="11"/>
  <c r="I47" i="11"/>
  <c r="I48" i="11"/>
  <c r="I49" i="11"/>
  <c r="I50" i="11"/>
  <c r="I51" i="11"/>
  <c r="I52" i="11"/>
  <c r="I53" i="11"/>
  <c r="H36" i="11"/>
  <c r="G36" i="11" s="1"/>
  <c r="H37" i="11"/>
  <c r="G37" i="11" s="1"/>
  <c r="H38" i="11"/>
  <c r="G38" i="11" s="1"/>
  <c r="H39" i="11"/>
  <c r="G39" i="11" s="1"/>
  <c r="H40" i="11"/>
  <c r="G40" i="11"/>
  <c r="H41" i="11"/>
  <c r="G41" i="11" s="1"/>
  <c r="H42" i="11"/>
  <c r="G42" i="11" s="1"/>
  <c r="H43" i="11"/>
  <c r="G43" i="11" s="1"/>
  <c r="H44" i="11"/>
  <c r="G44" i="11"/>
  <c r="H45" i="11"/>
  <c r="G45" i="11" s="1"/>
  <c r="H46" i="11"/>
  <c r="G46" i="11" s="1"/>
  <c r="H47" i="11"/>
  <c r="G47" i="11" s="1"/>
  <c r="H48" i="11"/>
  <c r="G48" i="11"/>
  <c r="H49" i="11"/>
  <c r="G49" i="11" s="1"/>
  <c r="H50" i="11"/>
  <c r="G50" i="11" s="1"/>
  <c r="H51" i="11"/>
  <c r="G51" i="11" s="1"/>
  <c r="H52" i="11"/>
  <c r="G52" i="11" s="1"/>
  <c r="H53" i="11"/>
  <c r="G53" i="11" s="1"/>
  <c r="C3" i="11"/>
  <c r="R2" i="2"/>
  <c r="R24" i="2"/>
  <c r="R25" i="2"/>
  <c r="Q25" i="2"/>
  <c r="Q9" i="2"/>
  <c r="U9" i="2" s="1"/>
  <c r="Q10" i="2"/>
  <c r="Q11" i="2"/>
  <c r="U11" i="2" s="1"/>
  <c r="Q12" i="2"/>
  <c r="U12" i="2" s="1"/>
  <c r="Q13" i="2"/>
  <c r="U13" i="2" s="1"/>
  <c r="Q14" i="2"/>
  <c r="U14" i="2" s="1"/>
  <c r="Q15" i="2"/>
  <c r="U15" i="2" s="1"/>
  <c r="Q16" i="2"/>
  <c r="U16" i="2" s="1"/>
  <c r="Q2" i="2"/>
  <c r="AD1" i="8"/>
  <c r="G4" i="8"/>
  <c r="O16" i="1"/>
  <c r="R27" i="2" s="1"/>
  <c r="K4" i="8"/>
  <c r="I4" i="8"/>
  <c r="J4" i="8"/>
  <c r="H4" i="8"/>
  <c r="G9" i="7"/>
  <c r="H9" i="7"/>
  <c r="G3" i="7"/>
  <c r="H3" i="7" s="1"/>
  <c r="G4" i="7"/>
  <c r="H4" i="7" s="1"/>
  <c r="G5" i="7"/>
  <c r="H5" i="7" s="1"/>
  <c r="G6" i="7"/>
  <c r="H6" i="7"/>
  <c r="G7" i="7"/>
  <c r="H7" i="7" s="1"/>
  <c r="H8" i="7"/>
  <c r="E9" i="7"/>
  <c r="F9" i="7" s="1"/>
  <c r="E8" i="7"/>
  <c r="F8" i="7"/>
  <c r="E7" i="7"/>
  <c r="F7" i="7" s="1"/>
  <c r="E6" i="7"/>
  <c r="F6" i="7"/>
  <c r="E5" i="7"/>
  <c r="F5" i="7" s="1"/>
  <c r="E4" i="7"/>
  <c r="F4" i="7"/>
  <c r="E3" i="7"/>
  <c r="E12" i="7"/>
  <c r="F63" i="6"/>
  <c r="H63" i="6"/>
  <c r="E63" i="6"/>
  <c r="D63" i="6"/>
  <c r="F62" i="6"/>
  <c r="G62" i="6"/>
  <c r="E62" i="6"/>
  <c r="D62" i="6"/>
  <c r="F61" i="6"/>
  <c r="H61" i="6"/>
  <c r="G61" i="6"/>
  <c r="E61" i="6"/>
  <c r="D61" i="6"/>
  <c r="F60" i="6"/>
  <c r="H60" i="6" s="1"/>
  <c r="E60" i="6"/>
  <c r="D60" i="6"/>
  <c r="F59" i="6"/>
  <c r="H59" i="6" s="1"/>
  <c r="E59" i="6"/>
  <c r="D59" i="6"/>
  <c r="F58" i="6"/>
  <c r="H58" i="6" s="1"/>
  <c r="E58" i="6"/>
  <c r="D58" i="6"/>
  <c r="F56" i="6"/>
  <c r="H56" i="6" s="1"/>
  <c r="E56" i="6"/>
  <c r="D56" i="6"/>
  <c r="H55" i="6"/>
  <c r="G55" i="6"/>
  <c r="E55" i="6"/>
  <c r="D55" i="6"/>
  <c r="F54" i="6"/>
  <c r="H54" i="6" s="1"/>
  <c r="G54" i="6"/>
  <c r="E54" i="6"/>
  <c r="D54" i="6"/>
  <c r="F53" i="6"/>
  <c r="H53" i="6"/>
  <c r="E53" i="6"/>
  <c r="D53" i="6"/>
  <c r="F52" i="6"/>
  <c r="G52" i="6"/>
  <c r="E52" i="6"/>
  <c r="D52" i="6"/>
  <c r="F51" i="6"/>
  <c r="H51" i="6"/>
  <c r="G51" i="6"/>
  <c r="E51" i="6"/>
  <c r="D51" i="6"/>
  <c r="H50" i="6"/>
  <c r="G50" i="6"/>
  <c r="E50" i="6"/>
  <c r="D50" i="6"/>
  <c r="F49" i="6"/>
  <c r="H49" i="6" s="1"/>
  <c r="E49" i="6"/>
  <c r="D49" i="6"/>
  <c r="H48" i="6"/>
  <c r="G48" i="6"/>
  <c r="E48" i="6"/>
  <c r="D48" i="6"/>
  <c r="H47" i="6"/>
  <c r="G47" i="6"/>
  <c r="E47" i="6"/>
  <c r="D47" i="6"/>
  <c r="F46" i="6"/>
  <c r="H46" i="6" s="1"/>
  <c r="E46" i="6"/>
  <c r="D46" i="6"/>
  <c r="F45" i="6"/>
  <c r="H45" i="6" s="1"/>
  <c r="E45" i="6"/>
  <c r="D45" i="6"/>
  <c r="H44" i="6"/>
  <c r="G44" i="6"/>
  <c r="E44" i="6"/>
  <c r="D44" i="6"/>
  <c r="H43" i="6"/>
  <c r="G43" i="6"/>
  <c r="E43" i="6"/>
  <c r="D43" i="6"/>
  <c r="F42" i="6"/>
  <c r="H42" i="6" s="1"/>
  <c r="E42" i="6"/>
  <c r="D42" i="6"/>
  <c r="F41" i="6"/>
  <c r="H41" i="6" s="1"/>
  <c r="G41" i="6"/>
  <c r="E41" i="6"/>
  <c r="D41" i="6"/>
  <c r="H40" i="6"/>
  <c r="G40" i="6"/>
  <c r="E40" i="6"/>
  <c r="D40" i="6"/>
  <c r="F39" i="6"/>
  <c r="H39" i="6"/>
  <c r="E39" i="6"/>
  <c r="D39" i="6"/>
  <c r="F38" i="6"/>
  <c r="G38" i="6"/>
  <c r="E38" i="6"/>
  <c r="D38" i="6"/>
  <c r="F37" i="6"/>
  <c r="H37" i="6"/>
  <c r="G37" i="6"/>
  <c r="E37" i="6"/>
  <c r="D37" i="6"/>
  <c r="F36" i="6"/>
  <c r="H36" i="6" s="1"/>
  <c r="E36" i="6"/>
  <c r="D36" i="6"/>
  <c r="F35" i="6"/>
  <c r="H35" i="6" s="1"/>
  <c r="E35" i="6"/>
  <c r="D35" i="6"/>
  <c r="F34" i="6"/>
  <c r="H34" i="6" s="1"/>
  <c r="E34" i="6"/>
  <c r="D34" i="6"/>
  <c r="F33" i="6"/>
  <c r="H33" i="6" s="1"/>
  <c r="E33" i="6"/>
  <c r="D33" i="6"/>
  <c r="F32" i="6"/>
  <c r="H32" i="6" s="1"/>
  <c r="G32" i="6"/>
  <c r="E32" i="6"/>
  <c r="D32" i="6"/>
  <c r="F31" i="6"/>
  <c r="H31" i="6"/>
  <c r="E31" i="6"/>
  <c r="D31" i="6"/>
  <c r="F30" i="6"/>
  <c r="G30" i="6"/>
  <c r="E30" i="6"/>
  <c r="D30" i="6"/>
  <c r="F29" i="6"/>
  <c r="G29" i="6" s="1"/>
  <c r="H29" i="6"/>
  <c r="E29" i="6"/>
  <c r="D29" i="6"/>
  <c r="F28" i="6"/>
  <c r="H28" i="6" s="1"/>
  <c r="E28" i="6"/>
  <c r="D28" i="6"/>
  <c r="F27" i="6"/>
  <c r="H27" i="6" s="1"/>
  <c r="E27" i="6"/>
  <c r="D27" i="6"/>
  <c r="H26" i="6"/>
  <c r="G26" i="6"/>
  <c r="E26" i="6"/>
  <c r="D26" i="6"/>
  <c r="F25" i="6"/>
  <c r="G25" i="6" s="1"/>
  <c r="E25" i="6"/>
  <c r="D25" i="6"/>
  <c r="F24" i="6"/>
  <c r="H24" i="6" s="1"/>
  <c r="E24" i="6"/>
  <c r="D24" i="6"/>
  <c r="F23" i="6"/>
  <c r="H23" i="6" s="1"/>
  <c r="G23" i="6"/>
  <c r="E23" i="6"/>
  <c r="D23" i="6"/>
  <c r="F22" i="6"/>
  <c r="H22" i="6"/>
  <c r="E22" i="6"/>
  <c r="D22" i="6"/>
  <c r="F21" i="6"/>
  <c r="H21" i="6"/>
  <c r="E21" i="6"/>
  <c r="D21" i="6"/>
  <c r="F20" i="6"/>
  <c r="G20" i="6" s="1"/>
  <c r="H20" i="6"/>
  <c r="E20" i="6"/>
  <c r="D20" i="6"/>
  <c r="H19" i="6"/>
  <c r="G19" i="6"/>
  <c r="E19" i="6"/>
  <c r="D19" i="6"/>
  <c r="F18" i="6"/>
  <c r="H18" i="6" s="1"/>
  <c r="E18" i="6"/>
  <c r="D18" i="6"/>
  <c r="F17" i="6"/>
  <c r="H17" i="6" s="1"/>
  <c r="E17" i="6"/>
  <c r="D17" i="6"/>
  <c r="F16" i="6"/>
  <c r="H16" i="6" s="1"/>
  <c r="E16" i="6"/>
  <c r="D16" i="6"/>
  <c r="F15" i="6"/>
  <c r="H15" i="6" s="1"/>
  <c r="E15" i="6"/>
  <c r="D15" i="6"/>
  <c r="F14" i="6"/>
  <c r="H14" i="6" s="1"/>
  <c r="G14" i="6"/>
  <c r="E14" i="6"/>
  <c r="D14" i="6"/>
  <c r="F13" i="6"/>
  <c r="H13" i="6"/>
  <c r="E13" i="6"/>
  <c r="D13" i="6"/>
  <c r="F12" i="6"/>
  <c r="G12" i="6"/>
  <c r="E12" i="6"/>
  <c r="D12" i="6"/>
  <c r="F11" i="6"/>
  <c r="G11" i="6" s="1"/>
  <c r="H11" i="6"/>
  <c r="E11" i="6"/>
  <c r="D11" i="6"/>
  <c r="F10" i="6"/>
  <c r="H10" i="6" s="1"/>
  <c r="E10" i="6"/>
  <c r="D10" i="6"/>
  <c r="F9" i="6"/>
  <c r="H9" i="6" s="1"/>
  <c r="E9" i="6"/>
  <c r="D9" i="6"/>
  <c r="H8" i="6"/>
  <c r="G8" i="6"/>
  <c r="E8" i="6"/>
  <c r="D8" i="6"/>
  <c r="F7" i="6"/>
  <c r="G7" i="6" s="1"/>
  <c r="E7" i="6"/>
  <c r="D7" i="6"/>
  <c r="F6" i="6"/>
  <c r="H6" i="6" s="1"/>
  <c r="E6" i="6"/>
  <c r="D6" i="6"/>
  <c r="F5" i="6"/>
  <c r="H5" i="6" s="1"/>
  <c r="G5" i="6"/>
  <c r="E5" i="6"/>
  <c r="D5" i="6"/>
  <c r="F4" i="6"/>
  <c r="H4" i="6"/>
  <c r="E4" i="6"/>
  <c r="D4" i="6"/>
  <c r="F3" i="6"/>
  <c r="H3" i="6"/>
  <c r="E3" i="6"/>
  <c r="D3" i="6"/>
  <c r="F2" i="6"/>
  <c r="H2" i="6"/>
  <c r="G2" i="6"/>
  <c r="E2" i="6"/>
  <c r="D2" i="6"/>
  <c r="F3" i="7"/>
  <c r="G3" i="6"/>
  <c r="G16" i="6"/>
  <c r="G21" i="6"/>
  <c r="G34" i="6"/>
  <c r="G45" i="6"/>
  <c r="G58" i="6"/>
  <c r="G4" i="6"/>
  <c r="H7" i="6"/>
  <c r="G9" i="6"/>
  <c r="H12" i="6"/>
  <c r="G13" i="6"/>
  <c r="G17" i="6"/>
  <c r="G22" i="6"/>
  <c r="H25" i="6"/>
  <c r="G27" i="6"/>
  <c r="H30" i="6"/>
  <c r="G31" i="6"/>
  <c r="G35" i="6"/>
  <c r="H38" i="6"/>
  <c r="G39" i="6"/>
  <c r="G46" i="6"/>
  <c r="H52" i="6"/>
  <c r="G53" i="6"/>
  <c r="G59" i="6"/>
  <c r="H62" i="6"/>
  <c r="G63" i="6"/>
  <c r="E45" i="4"/>
  <c r="C45" i="4" s="1"/>
  <c r="E44" i="4"/>
  <c r="C44" i="4" s="1"/>
  <c r="E37" i="4"/>
  <c r="C37" i="4" s="1"/>
  <c r="E36" i="4"/>
  <c r="C36" i="4" s="1"/>
  <c r="E35" i="4"/>
  <c r="C35" i="4" s="1"/>
  <c r="E32" i="4"/>
  <c r="E27" i="4"/>
  <c r="C28" i="4" s="1"/>
  <c r="E26" i="4"/>
  <c r="C26" i="4" s="1"/>
  <c r="C23" i="4"/>
  <c r="E22" i="4"/>
  <c r="C22" i="4" s="1"/>
  <c r="E16" i="4"/>
  <c r="C16" i="4" s="1"/>
  <c r="E17" i="4"/>
  <c r="C17" i="4" s="1"/>
  <c r="E18" i="4"/>
  <c r="E19" i="4"/>
  <c r="E15" i="4"/>
  <c r="C15" i="4" s="1"/>
  <c r="C43" i="4"/>
  <c r="C42" i="4"/>
  <c r="C33" i="4"/>
  <c r="C25" i="4"/>
  <c r="C21" i="4"/>
  <c r="C14" i="4"/>
  <c r="C13" i="4"/>
  <c r="C8" i="4"/>
  <c r="C3" i="4"/>
  <c r="O28" i="1" l="1"/>
  <c r="Q28" i="1" s="1"/>
  <c r="R26" i="2"/>
  <c r="P27" i="1"/>
  <c r="S33" i="2"/>
  <c r="V33" i="2" s="1"/>
  <c r="S10" i="2"/>
  <c r="S18" i="2"/>
  <c r="V18" i="2" s="1"/>
  <c r="H20" i="11" s="1"/>
  <c r="G20" i="11" s="1"/>
  <c r="S26" i="2"/>
  <c r="S19" i="2"/>
  <c r="S4" i="2"/>
  <c r="V4" i="2" s="1"/>
  <c r="K6" i="11" s="1"/>
  <c r="S12" i="2"/>
  <c r="V12" i="2" s="1"/>
  <c r="I14" i="11" s="1"/>
  <c r="S2" i="2"/>
  <c r="V2" i="2" s="1"/>
  <c r="J4" i="11" s="1"/>
  <c r="S5" i="2"/>
  <c r="V5" i="2" s="1"/>
  <c r="S16" i="2"/>
  <c r="S9" i="2"/>
  <c r="S3" i="2"/>
  <c r="V3" i="2" s="1"/>
  <c r="J5" i="11" s="1"/>
  <c r="S11" i="2"/>
  <c r="V11" i="2" s="1"/>
  <c r="I13" i="11" s="1"/>
  <c r="S27" i="2"/>
  <c r="V27" i="2" s="1"/>
  <c r="H29" i="11" s="1"/>
  <c r="S20" i="2"/>
  <c r="V20" i="2" s="1"/>
  <c r="K22" i="11" s="1"/>
  <c r="S13" i="2"/>
  <c r="V13" i="2" s="1"/>
  <c r="S6" i="2"/>
  <c r="V6" i="2" s="1"/>
  <c r="S22" i="2"/>
  <c r="V22" i="2" s="1"/>
  <c r="J24" i="11" s="1"/>
  <c r="S7" i="2"/>
  <c r="V7" i="2" s="1"/>
  <c r="S15" i="2"/>
  <c r="V15" i="2" s="1"/>
  <c r="I17" i="11" s="1"/>
  <c r="S23" i="2"/>
  <c r="V23" i="2" s="1"/>
  <c r="H25" i="11" s="1"/>
  <c r="S8" i="2"/>
  <c r="V8" i="2" s="1"/>
  <c r="I10" i="11" s="1"/>
  <c r="S24" i="2"/>
  <c r="V24" i="2" s="1"/>
  <c r="I26" i="11" s="1"/>
  <c r="S17" i="2"/>
  <c r="V17" i="2" s="1"/>
  <c r="H19" i="11" s="1"/>
  <c r="S14" i="2"/>
  <c r="V14" i="2" s="1"/>
  <c r="S21" i="2"/>
  <c r="V21" i="2" s="1"/>
  <c r="I23" i="11" s="1"/>
  <c r="S25" i="2"/>
  <c r="V25" i="2" s="1"/>
  <c r="H27" i="11" s="1"/>
  <c r="F12" i="7"/>
  <c r="H12" i="7"/>
  <c r="G56" i="6"/>
  <c r="G18" i="6"/>
  <c r="G36" i="6"/>
  <c r="G49" i="6"/>
  <c r="G6" i="6"/>
  <c r="G15" i="6"/>
  <c r="G24" i="6"/>
  <c r="G33" i="6"/>
  <c r="G42" i="6"/>
  <c r="G10" i="6"/>
  <c r="G28" i="6"/>
  <c r="G60" i="6"/>
  <c r="I3" i="11"/>
  <c r="L4" i="8"/>
  <c r="Y1" i="8" s="1"/>
  <c r="Z1" i="8" s="1"/>
  <c r="H2" i="11" s="1"/>
  <c r="V28" i="2"/>
  <c r="J30" i="11" s="1"/>
  <c r="P16" i="1"/>
  <c r="Q16" i="1" s="1"/>
  <c r="U10" i="2"/>
  <c r="V30" i="2"/>
  <c r="K32" i="11" s="1"/>
  <c r="V29" i="2"/>
  <c r="H31" i="11" s="1"/>
  <c r="G31" i="11" s="1"/>
  <c r="J3" i="11"/>
  <c r="C55" i="4"/>
  <c r="Q34" i="1"/>
  <c r="Q35" i="1"/>
  <c r="O32" i="1"/>
  <c r="O33" i="1"/>
  <c r="V26" i="2" l="1"/>
  <c r="J28" i="11" s="1"/>
  <c r="O29" i="1"/>
  <c r="O30" i="1" s="1"/>
  <c r="P30" i="1" s="1"/>
  <c r="P28" i="1"/>
  <c r="H1" i="11"/>
  <c r="G1" i="11" s="1"/>
  <c r="M1" i="4"/>
  <c r="H35" i="11"/>
  <c r="K35" i="11"/>
  <c r="J35" i="11"/>
  <c r="I35" i="11"/>
  <c r="O31" i="1"/>
  <c r="P31" i="1" s="1"/>
  <c r="V31" i="2"/>
  <c r="I33" i="11" s="1"/>
  <c r="V10" i="2"/>
  <c r="J12" i="11" s="1"/>
  <c r="K4" i="11"/>
  <c r="H4" i="11"/>
  <c r="I4" i="11"/>
  <c r="K2" i="11"/>
  <c r="V32" i="2"/>
  <c r="K34" i="11" s="1"/>
  <c r="V16" i="2"/>
  <c r="I18" i="11" s="1"/>
  <c r="K5" i="11"/>
  <c r="V19" i="2"/>
  <c r="H21" i="11" s="1"/>
  <c r="G21" i="11" s="1"/>
  <c r="I9" i="11"/>
  <c r="V9" i="2"/>
  <c r="J11" i="11" s="1"/>
  <c r="K8" i="11"/>
  <c r="H5" i="11"/>
  <c r="G5" i="11" s="1"/>
  <c r="H6" i="11"/>
  <c r="J15" i="11"/>
  <c r="I15" i="11"/>
  <c r="K15" i="11"/>
  <c r="H15" i="11"/>
  <c r="I5" i="11"/>
  <c r="I6" i="11"/>
  <c r="J6" i="11"/>
  <c r="J29" i="11"/>
  <c r="I29" i="11"/>
  <c r="K29" i="11"/>
  <c r="K31" i="11"/>
  <c r="Q33" i="1"/>
  <c r="P33" i="1"/>
  <c r="P32" i="1"/>
  <c r="Q32" i="1"/>
  <c r="H32" i="11"/>
  <c r="G32" i="11" s="1"/>
  <c r="J32" i="11"/>
  <c r="J31" i="11"/>
  <c r="I32" i="11"/>
  <c r="I31" i="11"/>
  <c r="J17" i="11"/>
  <c r="K13" i="11"/>
  <c r="J13" i="11"/>
  <c r="H26" i="11"/>
  <c r="K26" i="11"/>
  <c r="H13" i="11"/>
  <c r="J25" i="11"/>
  <c r="J26" i="11"/>
  <c r="I25" i="11"/>
  <c r="K25" i="11"/>
  <c r="J23" i="11"/>
  <c r="K23" i="11"/>
  <c r="H23" i="11"/>
  <c r="K17" i="11"/>
  <c r="H17" i="11"/>
  <c r="K20" i="11"/>
  <c r="J20" i="11"/>
  <c r="K30" i="11"/>
  <c r="J19" i="11"/>
  <c r="K10" i="11"/>
  <c r="H24" i="11"/>
  <c r="G24" i="11" s="1"/>
  <c r="J10" i="11"/>
  <c r="K14" i="11"/>
  <c r="I30" i="11"/>
  <c r="J27" i="11"/>
  <c r="H14" i="11"/>
  <c r="I27" i="11"/>
  <c r="H30" i="11"/>
  <c r="G30" i="11" s="1"/>
  <c r="J14" i="11"/>
  <c r="K27" i="11"/>
  <c r="K24" i="11"/>
  <c r="H10" i="11"/>
  <c r="I24" i="11"/>
  <c r="I20" i="11"/>
  <c r="J22" i="11"/>
  <c r="H22" i="11"/>
  <c r="G22" i="11" s="1"/>
  <c r="H16" i="11"/>
  <c r="G16" i="11" s="1"/>
  <c r="J16" i="11"/>
  <c r="K16" i="11"/>
  <c r="I16" i="11"/>
  <c r="H7" i="11"/>
  <c r="K7" i="11"/>
  <c r="I7" i="11"/>
  <c r="J7" i="11"/>
  <c r="I22" i="11"/>
  <c r="K19" i="11"/>
  <c r="I19" i="11"/>
  <c r="I28" i="11" l="1"/>
  <c r="H28" i="11"/>
  <c r="K28" i="11"/>
  <c r="M2" i="4"/>
  <c r="M3" i="4" s="1"/>
  <c r="Q30" i="1"/>
  <c r="P29" i="1"/>
  <c r="Q29" i="1"/>
  <c r="I1" i="11"/>
  <c r="Z13" i="2"/>
  <c r="Z19" i="2"/>
  <c r="AA19" i="2" s="1"/>
  <c r="A16" i="2" s="1"/>
  <c r="Z12" i="2"/>
  <c r="AB12" i="2" s="1"/>
  <c r="B9" i="2" s="1"/>
  <c r="AB2" i="2" s="1"/>
  <c r="Z18" i="2"/>
  <c r="Z15" i="2"/>
  <c r="Z20" i="2"/>
  <c r="Z16" i="2"/>
  <c r="Z14" i="2"/>
  <c r="Z17" i="2"/>
  <c r="K1" i="11"/>
  <c r="Q31" i="1"/>
  <c r="J34" i="11"/>
  <c r="K33" i="11"/>
  <c r="H33" i="11"/>
  <c r="J33" i="11"/>
  <c r="I2" i="11"/>
  <c r="J2" i="11" s="1"/>
  <c r="I12" i="11"/>
  <c r="G2" i="11"/>
  <c r="G3" i="11" s="1"/>
  <c r="H12" i="11"/>
  <c r="K12" i="11"/>
  <c r="H34" i="11"/>
  <c r="I34" i="11"/>
  <c r="J18" i="11"/>
  <c r="H18" i="11"/>
  <c r="K18" i="11"/>
  <c r="J21" i="11"/>
  <c r="K9" i="11"/>
  <c r="J9" i="11"/>
  <c r="H8" i="11"/>
  <c r="I8" i="11"/>
  <c r="J8" i="11"/>
  <c r="H11" i="11"/>
  <c r="K21" i="11"/>
  <c r="I11" i="11"/>
  <c r="I21" i="11"/>
  <c r="K11" i="11"/>
  <c r="H9" i="11"/>
  <c r="AA12" i="2" l="1"/>
  <c r="A9" i="2" s="1"/>
  <c r="AA13" i="2"/>
  <c r="A10" i="2" s="1"/>
  <c r="AB13" i="2"/>
  <c r="B10" i="2" s="1"/>
  <c r="Z3" i="2" s="1"/>
  <c r="A3" i="12" s="1"/>
  <c r="E3" i="12" s="1"/>
  <c r="H55" i="11" s="1"/>
  <c r="J55" i="11" s="1"/>
  <c r="AB18" i="2"/>
  <c r="B15" i="2" s="1"/>
  <c r="AB8" i="2" s="1"/>
  <c r="AB17" i="2"/>
  <c r="B14" i="2" s="1"/>
  <c r="AA16" i="2"/>
  <c r="A13" i="2" s="1"/>
  <c r="AB16" i="2"/>
  <c r="B13" i="2" s="1"/>
  <c r="AB6" i="2" s="1"/>
  <c r="AB20" i="2"/>
  <c r="B17" i="2" s="1"/>
  <c r="AA15" i="2"/>
  <c r="A12" i="2" s="1"/>
  <c r="AB15" i="2"/>
  <c r="B12" i="2" s="1"/>
  <c r="AB19" i="2"/>
  <c r="B16" i="2" s="1"/>
  <c r="AA14" i="2"/>
  <c r="A11" i="2" s="1"/>
  <c r="AB14" i="2"/>
  <c r="B11" i="2" s="1"/>
  <c r="AA4" i="2" s="1"/>
  <c r="B4" i="12" s="1"/>
  <c r="AA17" i="2"/>
  <c r="A14" i="2" s="1"/>
  <c r="AA20" i="2"/>
  <c r="A17" i="2" s="1"/>
  <c r="AA18" i="2"/>
  <c r="A15" i="2" s="1"/>
  <c r="AA2" i="2"/>
  <c r="B2" i="12" s="1"/>
  <c r="Z2" i="2"/>
  <c r="A2" i="12" s="1"/>
  <c r="E2" i="12" s="1"/>
  <c r="H54" i="11" s="1"/>
  <c r="G4" i="11"/>
  <c r="G6" i="11" s="1"/>
  <c r="AB7" i="2" l="1"/>
  <c r="Z7" i="2"/>
  <c r="A7" i="12" s="1"/>
  <c r="E7" i="12" s="1"/>
  <c r="H59" i="11" s="1"/>
  <c r="I59" i="11" s="1"/>
  <c r="AA7" i="2"/>
  <c r="B7" i="12" s="1"/>
  <c r="AA9" i="2"/>
  <c r="B9" i="12" s="1"/>
  <c r="AB9" i="2"/>
  <c r="Z6" i="2"/>
  <c r="A6" i="12" s="1"/>
  <c r="E6" i="12" s="1"/>
  <c r="H58" i="11" s="1"/>
  <c r="K58" i="11" s="1"/>
  <c r="AA6" i="2"/>
  <c r="B6" i="12" s="1"/>
  <c r="AB10" i="2"/>
  <c r="Z10" i="2"/>
  <c r="A10" i="12" s="1"/>
  <c r="E10" i="12" s="1"/>
  <c r="H62" i="11" s="1"/>
  <c r="G62" i="11" s="1"/>
  <c r="AA10" i="2"/>
  <c r="B10" i="12" s="1"/>
  <c r="Z8" i="2"/>
  <c r="A8" i="12" s="1"/>
  <c r="E8" i="12" s="1"/>
  <c r="H60" i="11" s="1"/>
  <c r="G60" i="11" s="1"/>
  <c r="AA8" i="2"/>
  <c r="B8" i="12" s="1"/>
  <c r="Z9" i="2"/>
  <c r="A9" i="12" s="1"/>
  <c r="E9" i="12" s="1"/>
  <c r="H61" i="11" s="1"/>
  <c r="J61" i="11" s="1"/>
  <c r="AB3" i="2"/>
  <c r="AA3" i="2"/>
  <c r="B3" i="12" s="1"/>
  <c r="AB4" i="2"/>
  <c r="Z4" i="2"/>
  <c r="A4" i="12" s="1"/>
  <c r="E4" i="12" s="1"/>
  <c r="H56" i="11" s="1"/>
  <c r="K56" i="11" s="1"/>
  <c r="Z5" i="2"/>
  <c r="A5" i="12" s="1"/>
  <c r="E5" i="12" s="1"/>
  <c r="H57" i="11" s="1"/>
  <c r="AB5" i="2"/>
  <c r="AA5" i="2"/>
  <c r="B5" i="12" s="1"/>
  <c r="G7" i="11"/>
  <c r="G18" i="11"/>
  <c r="K55" i="11"/>
  <c r="I55" i="11"/>
  <c r="J54" i="11"/>
  <c r="K54" i="11"/>
  <c r="I54" i="11"/>
  <c r="K62" i="11" l="1"/>
  <c r="J62" i="11"/>
  <c r="I62" i="11"/>
  <c r="I58" i="11"/>
  <c r="J58" i="11"/>
  <c r="J59" i="11"/>
  <c r="G59" i="11"/>
  <c r="K59" i="11"/>
  <c r="I61" i="11"/>
  <c r="K61" i="11"/>
  <c r="G61" i="11"/>
  <c r="I60" i="11"/>
  <c r="K60" i="11"/>
  <c r="J60" i="11"/>
  <c r="J56" i="11"/>
  <c r="I56" i="11"/>
  <c r="I57" i="11"/>
  <c r="J57" i="11"/>
  <c r="K57" i="11"/>
  <c r="G8" i="11"/>
  <c r="G9" i="11" s="1"/>
  <c r="G10" i="11"/>
  <c r="G25" i="11"/>
  <c r="G11" i="11" l="1"/>
  <c r="G12" i="11"/>
  <c r="G13" i="11" l="1"/>
  <c r="G14" i="11" s="1"/>
  <c r="G15" i="11" s="1"/>
  <c r="G33" i="11"/>
  <c r="G34" i="11" s="1"/>
  <c r="G17" i="11" l="1"/>
  <c r="G19" i="11" s="1"/>
  <c r="G23" i="11" l="1"/>
  <c r="G26" i="11" s="1"/>
  <c r="G27" i="11" l="1"/>
  <c r="G57" i="11"/>
  <c r="G58" i="11" s="1"/>
  <c r="G28" i="11" l="1"/>
  <c r="G29" i="11" l="1"/>
  <c r="G35" i="11" s="1"/>
  <c r="G54" i="11" l="1"/>
  <c r="G55" i="11" s="1"/>
  <c r="G56" i="11" l="1"/>
  <c r="M1" i="11" s="1"/>
  <c r="A6" i="11" s="1"/>
  <c r="E6" i="11" s="1"/>
  <c r="J1" i="11" s="1"/>
  <c r="A7" i="11" l="1"/>
  <c r="A8" i="11" s="1"/>
  <c r="B6" i="11"/>
  <c r="C6" i="11"/>
  <c r="D6" i="11"/>
  <c r="B8" i="11" l="1"/>
  <c r="D8" i="11"/>
  <c r="C7" i="11"/>
  <c r="E7" i="11"/>
  <c r="E8" i="11"/>
  <c r="A9" i="11"/>
  <c r="A10" i="11" s="1"/>
  <c r="A11" i="11" s="1"/>
  <c r="C8" i="11"/>
  <c r="B7" i="11"/>
  <c r="D7" i="11"/>
  <c r="C10" i="11" l="1"/>
  <c r="E9" i="11"/>
  <c r="B10" i="11"/>
  <c r="D10" i="11"/>
  <c r="E10" i="11"/>
  <c r="C9" i="11"/>
  <c r="B9" i="11"/>
  <c r="D9" i="11"/>
  <c r="A12" i="11"/>
  <c r="D11" i="11"/>
  <c r="C11" i="11"/>
  <c r="B11" i="11"/>
  <c r="E11" i="11"/>
  <c r="A13" i="11" l="1"/>
  <c r="E12" i="11"/>
  <c r="D12" i="11"/>
  <c r="B12" i="11"/>
  <c r="C12" i="11"/>
  <c r="D13" i="11" l="1"/>
  <c r="B13" i="11"/>
  <c r="E13" i="11"/>
  <c r="A14" i="11"/>
  <c r="C13" i="11"/>
  <c r="B14" i="11" l="1"/>
  <c r="E14" i="11"/>
  <c r="D14" i="11"/>
  <c r="A15" i="11"/>
  <c r="C14" i="11"/>
  <c r="B15" i="11" l="1"/>
  <c r="C15" i="11"/>
  <c r="D15" i="11"/>
  <c r="E15" i="11"/>
  <c r="A16" i="11"/>
  <c r="D16" i="11" l="1"/>
  <c r="A17" i="11"/>
  <c r="C16" i="11"/>
  <c r="E16" i="11"/>
  <c r="B16" i="11"/>
  <c r="D17" i="11" l="1"/>
  <c r="B17" i="11"/>
  <c r="E17" i="11"/>
  <c r="C17" i="11"/>
  <c r="A18" i="11"/>
  <c r="A19" i="11" l="1"/>
  <c r="D18" i="11"/>
  <c r="B18" i="11"/>
  <c r="E18" i="11"/>
  <c r="C18" i="11"/>
  <c r="A20" i="11" l="1"/>
  <c r="E19" i="11"/>
  <c r="B19" i="11"/>
  <c r="D19" i="11"/>
  <c r="C19" i="11"/>
  <c r="E20" i="11" l="1"/>
  <c r="D20" i="11"/>
  <c r="A21" i="11"/>
  <c r="C20" i="11"/>
  <c r="B20" i="11"/>
  <c r="B21" i="11" l="1"/>
  <c r="C21" i="11"/>
  <c r="E21" i="11"/>
  <c r="A22" i="11"/>
  <c r="D21" i="11"/>
  <c r="A23" i="11" l="1"/>
  <c r="D22" i="11"/>
  <c r="E22" i="11"/>
  <c r="B22" i="11"/>
  <c r="C22" i="11"/>
  <c r="E23" i="11" l="1"/>
  <c r="A24" i="11"/>
  <c r="B23" i="11"/>
  <c r="D23" i="11"/>
  <c r="C23" i="11"/>
  <c r="B24" i="11" l="1"/>
  <c r="D24" i="11"/>
  <c r="C24" i="11"/>
  <c r="A25" i="11"/>
  <c r="E24" i="11"/>
  <c r="A26" i="11" l="1"/>
  <c r="E25" i="11"/>
  <c r="D25" i="11"/>
  <c r="C25" i="11"/>
  <c r="B25" i="11"/>
  <c r="C26" i="11" l="1"/>
  <c r="D26" i="11"/>
  <c r="A27" i="11"/>
  <c r="E26" i="11"/>
  <c r="B26" i="11"/>
  <c r="B27" i="11" l="1"/>
  <c r="E27" i="11"/>
  <c r="C27" i="11"/>
  <c r="A28" i="11"/>
  <c r="D27" i="11"/>
  <c r="A29" i="11" l="1"/>
  <c r="C28" i="11"/>
  <c r="D28" i="11"/>
  <c r="B28" i="11"/>
  <c r="E28" i="11"/>
  <c r="E29" i="11" l="1"/>
  <c r="D29" i="11"/>
  <c r="B29" i="11"/>
  <c r="A30" i="11"/>
  <c r="C29" i="11"/>
  <c r="E30" i="11" l="1"/>
  <c r="A31" i="11"/>
  <c r="B30" i="11"/>
  <c r="C30" i="11"/>
  <c r="D30" i="11"/>
  <c r="D31" i="11" l="1"/>
  <c r="A32" i="11"/>
  <c r="C31" i="11"/>
  <c r="B31" i="11"/>
  <c r="E31" i="11"/>
  <c r="C32" i="11" l="1"/>
  <c r="A33" i="11"/>
  <c r="E32" i="11"/>
  <c r="B32" i="11"/>
  <c r="D32" i="11"/>
  <c r="C33" i="11" l="1"/>
  <c r="A34" i="11"/>
  <c r="E33" i="11"/>
  <c r="D33" i="11"/>
  <c r="B33" i="11"/>
  <c r="E34" i="11" l="1"/>
  <c r="C34" i="11"/>
  <c r="B34" i="11"/>
  <c r="A35" i="11"/>
  <c r="D34" i="11"/>
  <c r="A36" i="11" l="1"/>
  <c r="E35" i="11"/>
  <c r="D35" i="11"/>
  <c r="C35" i="11"/>
  <c r="B35" i="11"/>
  <c r="D36" i="11" l="1"/>
  <c r="A37" i="11"/>
  <c r="B36" i="11"/>
  <c r="E36" i="11"/>
  <c r="C36" i="11"/>
  <c r="B37" i="11" l="1"/>
  <c r="D37" i="11"/>
  <c r="C37" i="11"/>
  <c r="E37" i="11"/>
  <c r="A38" i="11"/>
  <c r="E38" i="11" l="1"/>
  <c r="B38" i="11"/>
  <c r="C38" i="11"/>
  <c r="A39" i="11"/>
  <c r="D38" i="11"/>
  <c r="D39" i="11" l="1"/>
  <c r="B39" i="11"/>
  <c r="A40" i="11"/>
  <c r="C39" i="11"/>
  <c r="E39" i="11"/>
  <c r="B40" i="11" l="1"/>
  <c r="C40" i="11"/>
  <c r="A41" i="11"/>
  <c r="E40" i="11"/>
  <c r="D40" i="11"/>
  <c r="C41" i="11" l="1"/>
  <c r="A42" i="11"/>
  <c r="E41" i="11"/>
  <c r="D41" i="11"/>
  <c r="B41" i="11"/>
  <c r="A43" i="11" l="1"/>
  <c r="C42" i="11"/>
  <c r="B42" i="11"/>
  <c r="E42" i="11"/>
  <c r="D42" i="11"/>
  <c r="C43" i="11" l="1"/>
  <c r="B43" i="11"/>
  <c r="A44" i="11"/>
  <c r="E43" i="11"/>
  <c r="D43" i="11"/>
  <c r="C44" i="11" l="1"/>
  <c r="A45" i="11"/>
  <c r="B44" i="11"/>
  <c r="E44" i="11"/>
  <c r="D44" i="11"/>
  <c r="E45" i="11" l="1"/>
  <c r="B45" i="11"/>
  <c r="A46" i="11"/>
  <c r="C45" i="11"/>
  <c r="D45" i="11"/>
  <c r="E46" i="11" l="1"/>
  <c r="B46" i="11"/>
  <c r="C46" i="11"/>
  <c r="A47" i="11"/>
  <c r="D46" i="11"/>
  <c r="B47" i="11" l="1"/>
  <c r="D47" i="11"/>
  <c r="C47" i="11"/>
  <c r="A48" i="11"/>
  <c r="E47" i="11"/>
  <c r="E48" i="11" l="1"/>
  <c r="C48" i="11"/>
  <c r="B48" i="11"/>
  <c r="A49" i="11"/>
  <c r="D48" i="11"/>
  <c r="C49" i="11" l="1"/>
  <c r="B49" i="11"/>
  <c r="D49" i="11"/>
  <c r="E49" i="11"/>
  <c r="A50" i="11"/>
  <c r="B50" i="11" l="1"/>
  <c r="D50" i="11"/>
  <c r="A51" i="11"/>
  <c r="C50" i="11"/>
  <c r="E50" i="11"/>
  <c r="B51" i="11" l="1"/>
  <c r="E51" i="11"/>
  <c r="A52" i="11"/>
  <c r="D51" i="11"/>
  <c r="C51" i="11"/>
  <c r="B52" i="11" l="1"/>
  <c r="C52" i="11"/>
  <c r="A53" i="11"/>
  <c r="E52" i="11"/>
  <c r="E3" i="11" s="1"/>
  <c r="D52" i="11"/>
  <c r="B53" i="11" l="1"/>
  <c r="A54" i="11"/>
  <c r="B54" i="11" l="1"/>
  <c r="A55" i="11"/>
  <c r="A56" i="11" l="1"/>
  <c r="B55" i="11"/>
  <c r="A57" i="11" l="1"/>
  <c r="B56" i="11"/>
  <c r="B57" i="11" l="1"/>
  <c r="A58" i="11"/>
  <c r="A59" i="11" l="1"/>
  <c r="B58" i="11"/>
  <c r="A60" i="11" l="1"/>
  <c r="B59" i="11"/>
  <c r="A61" i="11" l="1"/>
  <c r="B60" i="11"/>
  <c r="B61" i="11" l="1"/>
  <c r="A62" i="11"/>
  <c r="A63" i="11" l="1"/>
  <c r="B62" i="11"/>
  <c r="B63" i="11" l="1"/>
  <c r="A64" i="11"/>
  <c r="B64" i="11" l="1"/>
  <c r="A65" i="11"/>
  <c r="B65" i="11" l="1"/>
  <c r="A66" i="11"/>
  <c r="A67" i="11" l="1"/>
  <c r="B66" i="11"/>
  <c r="B67" i="11" l="1"/>
  <c r="A68" i="11"/>
  <c r="A69" i="11" l="1"/>
  <c r="B68" i="11"/>
  <c r="B69" i="11" l="1"/>
  <c r="A70" i="11"/>
  <c r="A71" i="11" l="1"/>
  <c r="B70" i="11"/>
  <c r="A72" i="11" l="1"/>
  <c r="B71" i="11"/>
  <c r="A73" i="11" l="1"/>
  <c r="B72" i="11"/>
  <c r="B73" i="11" l="1"/>
  <c r="A74" i="11"/>
  <c r="A75" i="11" l="1"/>
  <c r="B74" i="11"/>
  <c r="A76" i="11" l="1"/>
  <c r="B75" i="11"/>
  <c r="B76" i="11" l="1"/>
  <c r="A77" i="11"/>
  <c r="A78" i="11" l="1"/>
  <c r="B77" i="11"/>
  <c r="A79" i="11" l="1"/>
  <c r="B78" i="11"/>
  <c r="B79" i="11" l="1"/>
  <c r="A80" i="11"/>
  <c r="B80" i="11" l="1"/>
  <c r="A81" i="11"/>
  <c r="B81" i="11" l="1"/>
  <c r="A82" i="11"/>
  <c r="A83" i="11" l="1"/>
  <c r="B82" i="11"/>
  <c r="A84" i="11" l="1"/>
  <c r="B83" i="11"/>
  <c r="A85" i="11" l="1"/>
  <c r="B84" i="11"/>
  <c r="B85" i="11" l="1"/>
  <c r="A86" i="11"/>
  <c r="B86" i="11" l="1"/>
  <c r="A87" i="11"/>
  <c r="A88" i="11" l="1"/>
  <c r="B87" i="11"/>
  <c r="A89" i="11" l="1"/>
  <c r="B88" i="11"/>
  <c r="A90" i="11" l="1"/>
  <c r="B89" i="11"/>
  <c r="B90" i="11" l="1"/>
  <c r="A91" i="11"/>
  <c r="A92" i="11" l="1"/>
  <c r="B91" i="11"/>
  <c r="A93" i="11" l="1"/>
  <c r="B92" i="11"/>
  <c r="A94" i="11" l="1"/>
  <c r="B93" i="11"/>
  <c r="A95" i="11" l="1"/>
  <c r="B94" i="11"/>
  <c r="A96" i="11" l="1"/>
  <c r="B95" i="11"/>
  <c r="B96" i="11" l="1"/>
  <c r="A97" i="11"/>
  <c r="B97" i="11" l="1"/>
  <c r="A98" i="11"/>
  <c r="B98" i="11" l="1"/>
  <c r="A99" i="11"/>
  <c r="A100" i="11" l="1"/>
  <c r="B100" i="11" s="1"/>
  <c r="B99" i="11"/>
</calcChain>
</file>

<file path=xl/sharedStrings.xml><?xml version="1.0" encoding="utf-8"?>
<sst xmlns="http://schemas.openxmlformats.org/spreadsheetml/2006/main" count="505" uniqueCount="349">
  <si>
    <t># of Subjects planned</t>
  </si>
  <si>
    <t>Over what time period?</t>
  </si>
  <si>
    <t>Locations where patients will be dosed (or seen to provide take-home medications):</t>
  </si>
  <si>
    <t>Other:</t>
  </si>
  <si>
    <t>IRB # or IACUC # (if known)</t>
  </si>
  <si>
    <t>Funding Sponsor</t>
  </si>
  <si>
    <t>Regulatory Sponsor (if different)</t>
  </si>
  <si>
    <t>Given at what visits?</t>
  </si>
  <si>
    <t>Special Services</t>
  </si>
  <si>
    <r>
      <t>IDS CENTRAL:  3600 Civic Center Blvd / 10</t>
    </r>
    <r>
      <rPr>
        <vertAlign val="superscript"/>
        <sz val="10"/>
        <color theme="1"/>
        <rFont val="Constantia"/>
        <family val="1"/>
      </rPr>
      <t>th</t>
    </r>
    <r>
      <rPr>
        <sz val="10"/>
        <color theme="1"/>
        <rFont val="Constantia"/>
        <family val="1"/>
      </rPr>
      <t xml:space="preserve"> Floor / Philadelphia, PA 19104 / 215-662-7911 / fax 215-615-1308</t>
    </r>
  </si>
  <si>
    <r>
      <t>IDS NORTH:  51 N 39</t>
    </r>
    <r>
      <rPr>
        <vertAlign val="superscript"/>
        <sz val="10"/>
        <color theme="1"/>
        <rFont val="Constantia"/>
        <family val="1"/>
      </rPr>
      <t>th</t>
    </r>
    <r>
      <rPr>
        <sz val="10"/>
        <color theme="1"/>
        <rFont val="Constantia"/>
        <family val="1"/>
      </rPr>
      <t xml:space="preserve"> St / 103 Mutch Bldg / Philadelphia, PA 19104</t>
    </r>
  </si>
  <si>
    <t>IDS MAIN:  3600 Spruce St / Maloney Ground Floor / Philadelphia, PA 19104 / 215-349-8817 / fax 215-349-5132</t>
  </si>
  <si>
    <t>(NOTE: IDS MAIN (Maloney) will be closing by December 2019)</t>
  </si>
  <si>
    <t>PennIDS@pennmedicine.upenn.edu</t>
  </si>
  <si>
    <t>IDSNorth@pennmedicine.upenn.edu</t>
  </si>
  <si>
    <t>PROTOCOL COVER SHEET</t>
  </si>
  <si>
    <t>Protocol (short title):</t>
  </si>
  <si>
    <t>Investigator:</t>
  </si>
  <si>
    <t>Corrdinator &amp; Contact Information:</t>
  </si>
  <si>
    <t xml:space="preserve">        Investigational Drug Service - University of Pennsylvania – Perelman School of Medicine</t>
  </si>
  <si>
    <t>Please include PROTOCOL, PHARMACY MANUAL (if applicable) and any other details/instructions that you feel are relevant in determining costs and feasibility.</t>
  </si>
  <si>
    <t>Tell us about the study:</t>
  </si>
  <si>
    <t xml:space="preserve">    Department:</t>
  </si>
  <si>
    <t>-</t>
  </si>
  <si>
    <r>
      <rPr>
        <sz val="11"/>
        <color theme="10"/>
        <rFont val="Calibri"/>
        <family val="2"/>
        <scheme val="minor"/>
      </rPr>
      <t xml:space="preserve">    </t>
    </r>
    <r>
      <rPr>
        <u/>
        <sz val="11"/>
        <color theme="10"/>
        <rFont val="Calibri"/>
        <family val="2"/>
        <scheme val="minor"/>
      </rPr>
      <t>www.itmat.upenn.edu/ids.shtml</t>
    </r>
  </si>
  <si>
    <t>Inpatient:</t>
  </si>
  <si>
    <t>What inpatient unit(s)?</t>
  </si>
  <si>
    <t xml:space="preserve">CHPS Research Units: </t>
  </si>
  <si>
    <t>Service</t>
  </si>
  <si>
    <t>Quantity</t>
  </si>
  <si>
    <t>Instructions</t>
  </si>
  <si>
    <t>Field</t>
  </si>
  <si>
    <t>Contribution to Cost</t>
  </si>
  <si>
    <t>Protocol Review (1 to 5 scale for complexity) - MANDATORY for all trials</t>
  </si>
  <si>
    <t>Dispensing Procedure Creation (enter study complexity as a range of 1 (v simple) to 5 (complicated multiple meds))</t>
  </si>
  <si>
    <t>Staff Training on new study</t>
  </si>
  <si>
    <t xml:space="preserve">Use of CONTROLLED SUBSTANCES </t>
  </si>
  <si>
    <t>BEACON build</t>
  </si>
  <si>
    <t>WILLOW build</t>
  </si>
  <si>
    <t>Simple EPIC outpatient build</t>
  </si>
  <si>
    <t>Will study drug be provided to the IDS?*</t>
  </si>
  <si>
    <t>Will placebo be provided to the IDS?*</t>
  </si>
  <si>
    <t>Do you require assistance with protocol language (how many hours)?</t>
  </si>
  <si>
    <t>Variable - hourly.  Need to see existing protocol draft and how much is left to fill in.  Typically between 2h (for 1-2 pages) to 4h.</t>
  </si>
  <si>
    <t>Will you need randomization tables created?*</t>
  </si>
  <si>
    <t>Do you need a kit or package designed for dispensing (i.e. blister cards, boxed vials)*</t>
  </si>
  <si>
    <t>Does sponsor require 'IVRS' training or 'GCP training' (sponsor-specific) before study launch?*</t>
  </si>
  <si>
    <t>Will study involve routine sponsored monitoring visits?</t>
  </si>
  <si>
    <t>Will the sponsor conduct an SIV prior to study launch?</t>
  </si>
  <si>
    <t xml:space="preserve">Do you need IDS to formulate blinded dosage forms for your trial? </t>
  </si>
  <si>
    <t>Special services (describe)</t>
  </si>
  <si>
    <t>Calculate figure using hourly bill rate as basis.  Provide enough detail to be able to explain where figure came from.</t>
  </si>
  <si>
    <t>Protocols involving inpatients at HUP or PPMC</t>
  </si>
  <si>
    <t>Does the protocol involve inpatients at HUP or inpatients in CTRC?* (If NO: skip following questions)</t>
  </si>
  <si>
    <t>If YES: Is the study medication currently NOT marketed in the US for any other indication?</t>
  </si>
  <si>
    <t>Choose YES for ONLY ONE of the following:</t>
  </si>
  <si>
    <t>Does the protocol permit initial dosing or randomization ONLY during weekday hours?</t>
  </si>
  <si>
    <t>Does the protocol include always starting weekdays, though treatment may continue on weekends?</t>
  </si>
  <si>
    <t>Does the protocol require 24/7 access for enrollment and initial dosing?</t>
  </si>
  <si>
    <t>Protocols involving multiple sites</t>
  </si>
  <si>
    <t>Does the project require sending product to other clinical sites (other investigators)?* (If NO: skip following 4 questions)</t>
  </si>
  <si>
    <t>This field is for reference - does not calculate on its own.  Calculation is based on next fields below.</t>
  </si>
  <si>
    <t>If YES: how many other sites are planned?</t>
  </si>
  <si>
    <t xml:space="preserve">Enter actual # of sites IDS would be responsible for shipping to on a regular basis.  </t>
  </si>
  <si>
    <t>If YES: Are there international sites?</t>
  </si>
  <si>
    <t>If YES: Will you need a pharmacy manual or records created for other sites to use?</t>
  </si>
  <si>
    <t>If YES: Do you need IDS to attend or present to site staff at an investigator meeting? Or provide site training by Webinar?</t>
  </si>
  <si>
    <t>Relevant Cost Variables</t>
  </si>
  <si>
    <t>Variable</t>
  </si>
  <si>
    <t>Cost</t>
  </si>
  <si>
    <t>Pharmacist hourly rate</t>
  </si>
  <si>
    <t>Note any updates to these figures will auto-apply to</t>
  </si>
  <si>
    <t>Technician hourly rate</t>
  </si>
  <si>
    <t>all calculations above.  Pharmacist rate should match the</t>
  </si>
  <si>
    <t>Site set up fee</t>
  </si>
  <si>
    <t>Clinical Service Fee rate in Vestigo®.</t>
  </si>
  <si>
    <t>Total Cost:</t>
  </si>
  <si>
    <t>Yes or No</t>
  </si>
  <si>
    <t>Yes</t>
  </si>
  <si>
    <t>No</t>
  </si>
  <si>
    <t>Please refer to instructions for each section and enter value</t>
  </si>
  <si>
    <r>
      <rPr>
        <b/>
        <sz val="11"/>
        <rFont val="Calibri"/>
        <family val="2"/>
        <scheme val="minor"/>
      </rPr>
      <t>0</t>
    </r>
    <r>
      <rPr>
        <sz val="11"/>
        <rFont val="Calibri"/>
        <family val="2"/>
        <scheme val="minor"/>
      </rPr>
      <t xml:space="preserve"> for NO, </t>
    </r>
    <r>
      <rPr>
        <b/>
        <sz val="11"/>
        <rFont val="Calibri"/>
        <family val="2"/>
        <scheme val="minor"/>
      </rPr>
      <t>1</t>
    </r>
    <r>
      <rPr>
        <sz val="11"/>
        <rFont val="Calibri"/>
        <family val="2"/>
        <scheme val="minor"/>
      </rPr>
      <t xml:space="preserve"> for light monitoring (eg. sponsor or OCR visit once/year), </t>
    </r>
    <r>
      <rPr>
        <b/>
        <sz val="11"/>
        <rFont val="Calibri"/>
        <family val="2"/>
        <scheme val="minor"/>
      </rPr>
      <t>2</t>
    </r>
    <r>
      <rPr>
        <sz val="11"/>
        <rFont val="Calibri"/>
        <family val="2"/>
        <scheme val="minor"/>
      </rPr>
      <t xml:space="preserve"> for pharma/CRO monitoring multiple times/year, </t>
    </r>
    <r>
      <rPr>
        <b/>
        <sz val="11"/>
        <rFont val="Calibri"/>
        <family val="2"/>
        <scheme val="minor"/>
      </rPr>
      <t>3</t>
    </r>
    <r>
      <rPr>
        <sz val="11"/>
        <rFont val="Calibri"/>
        <family val="2"/>
        <scheme val="minor"/>
      </rPr>
      <t xml:space="preserve"> for intense monitoring (such as DAIDS quarterly full-day visits).</t>
    </r>
  </si>
  <si>
    <t>If YES to blinded dosage forms: How many different medications/strengths?</t>
  </si>
  <si>
    <r>
      <rPr>
        <b/>
        <sz val="11"/>
        <rFont val="Calibri"/>
        <family val="2"/>
        <scheme val="minor"/>
      </rPr>
      <t>0</t>
    </r>
    <r>
      <rPr>
        <sz val="11"/>
        <rFont val="Calibri"/>
        <family val="2"/>
        <scheme val="minor"/>
      </rPr>
      <t xml:space="preserve"> for NO, </t>
    </r>
    <r>
      <rPr>
        <b/>
        <sz val="11"/>
        <rFont val="Calibri"/>
        <family val="2"/>
        <scheme val="minor"/>
      </rPr>
      <t>1</t>
    </r>
    <r>
      <rPr>
        <sz val="11"/>
        <rFont val="Calibri"/>
        <family val="2"/>
        <scheme val="minor"/>
      </rPr>
      <t xml:space="preserve"> for YES, </t>
    </r>
    <r>
      <rPr>
        <b/>
        <sz val="11"/>
        <rFont val="Calibri"/>
        <family val="2"/>
        <scheme val="minor"/>
      </rPr>
      <t>2</t>
    </r>
    <r>
      <rPr>
        <sz val="11"/>
        <rFont val="Calibri"/>
        <family val="2"/>
        <scheme val="minor"/>
      </rPr>
      <t xml:space="preserve"> if multiple non-marketed agents.  If 'yes' then monograph must be written per UPHS policy</t>
    </r>
  </si>
  <si>
    <r>
      <rPr>
        <b/>
        <sz val="11"/>
        <rFont val="Calibri"/>
        <family val="2"/>
        <scheme val="minor"/>
      </rPr>
      <t xml:space="preserve"> 1</t>
    </r>
    <r>
      <rPr>
        <sz val="11"/>
        <rFont val="Calibri"/>
        <family val="2"/>
        <scheme val="minor"/>
      </rPr>
      <t xml:space="preserve"> = PI-initiated simple open-label single agent no manipulation</t>
    </r>
  </si>
  <si>
    <r>
      <rPr>
        <b/>
        <sz val="11"/>
        <rFont val="Calibri"/>
        <family val="2"/>
        <scheme val="minor"/>
      </rPr>
      <t xml:space="preserve"> 2</t>
    </r>
    <r>
      <rPr>
        <sz val="11"/>
        <rFont val="Calibri"/>
        <family val="2"/>
        <scheme val="minor"/>
      </rPr>
      <t xml:space="preserve"> = Single agent little to no preparation involved</t>
    </r>
  </si>
  <si>
    <r>
      <rPr>
        <b/>
        <sz val="11"/>
        <rFont val="Calibri"/>
        <family val="2"/>
        <scheme val="minor"/>
      </rPr>
      <t xml:space="preserve"> 3</t>
    </r>
    <r>
      <rPr>
        <sz val="11"/>
        <rFont val="Calibri"/>
        <family val="2"/>
        <scheme val="minor"/>
      </rPr>
      <t xml:space="preserve"> = 1-2 agents, sterile preparation</t>
    </r>
  </si>
  <si>
    <r>
      <t xml:space="preserve"> </t>
    </r>
    <r>
      <rPr>
        <b/>
        <sz val="11"/>
        <rFont val="Calibri"/>
        <family val="2"/>
        <scheme val="minor"/>
      </rPr>
      <t>4</t>
    </r>
    <r>
      <rPr>
        <sz val="11"/>
        <rFont val="Calibri"/>
        <family val="2"/>
        <scheme val="minor"/>
      </rPr>
      <t xml:space="preserve"> = Multiple agents, complex preparation, logistical questions</t>
    </r>
  </si>
  <si>
    <r>
      <t xml:space="preserve"> </t>
    </r>
    <r>
      <rPr>
        <b/>
        <sz val="11"/>
        <rFont val="Calibri"/>
        <family val="2"/>
        <scheme val="minor"/>
      </rPr>
      <t>5</t>
    </r>
    <r>
      <rPr>
        <sz val="11"/>
        <rFont val="Calibri"/>
        <family val="2"/>
        <scheme val="minor"/>
      </rPr>
      <t xml:space="preserve"> = Requires input to protocol design/language, CMC, etc</t>
    </r>
  </si>
  <si>
    <r>
      <t xml:space="preserve"> </t>
    </r>
    <r>
      <rPr>
        <b/>
        <sz val="11"/>
        <rFont val="Calibri"/>
        <family val="2"/>
        <scheme val="minor"/>
      </rPr>
      <t>3</t>
    </r>
    <r>
      <rPr>
        <sz val="11"/>
        <rFont val="Calibri"/>
        <family val="2"/>
        <scheme val="minor"/>
      </rPr>
      <t xml:space="preserve"> = 1-2 agents, sterile preparation</t>
    </r>
  </si>
  <si>
    <r>
      <rPr>
        <b/>
        <sz val="11"/>
        <rFont val="Calibri"/>
        <family val="2"/>
        <scheme val="minor"/>
      </rPr>
      <t xml:space="preserve"> 4</t>
    </r>
    <r>
      <rPr>
        <sz val="11"/>
        <rFont val="Calibri"/>
        <family val="2"/>
        <scheme val="minor"/>
      </rPr>
      <t xml:space="preserve"> = Multiple agents, complex preparation, logistical questions</t>
    </r>
  </si>
  <si>
    <r>
      <rPr>
        <b/>
        <sz val="11"/>
        <rFont val="Calibri"/>
        <family val="2"/>
        <scheme val="minor"/>
      </rPr>
      <t xml:space="preserve"> 5</t>
    </r>
    <r>
      <rPr>
        <sz val="11"/>
        <rFont val="Calibri"/>
        <family val="2"/>
        <scheme val="minor"/>
      </rPr>
      <t xml:space="preserve"> = Requires input to protocol design/language, CMC, etc</t>
    </r>
  </si>
  <si>
    <r>
      <t xml:space="preserve"> (</t>
    </r>
    <r>
      <rPr>
        <b/>
        <sz val="11"/>
        <rFont val="Calibri"/>
        <family val="2"/>
        <scheme val="minor"/>
      </rPr>
      <t>1</t>
    </r>
    <r>
      <rPr>
        <sz val="11"/>
        <rFont val="Calibri"/>
        <family val="2"/>
        <scheme val="minor"/>
      </rPr>
      <t xml:space="preserve"> = up to 5 minutes, </t>
    </r>
    <r>
      <rPr>
        <b/>
        <sz val="11"/>
        <rFont val="Calibri"/>
        <family val="2"/>
        <scheme val="minor"/>
      </rPr>
      <t>2</t>
    </r>
    <r>
      <rPr>
        <sz val="11"/>
        <rFont val="Calibri"/>
        <family val="2"/>
        <scheme val="minor"/>
      </rPr>
      <t xml:space="preserve"> = up to 10 minutes, </t>
    </r>
    <r>
      <rPr>
        <b/>
        <sz val="11"/>
        <rFont val="Calibri"/>
        <family val="2"/>
        <scheme val="minor"/>
      </rPr>
      <t>3</t>
    </r>
    <r>
      <rPr>
        <sz val="11"/>
        <rFont val="Calibri"/>
        <family val="2"/>
        <scheme val="minor"/>
      </rPr>
      <t xml:space="preserve"> = more complex)</t>
    </r>
  </si>
  <si>
    <r>
      <rPr>
        <b/>
        <sz val="11"/>
        <rFont val="Calibri"/>
        <family val="2"/>
        <scheme val="minor"/>
      </rPr>
      <t xml:space="preserve"> 4</t>
    </r>
    <r>
      <rPr>
        <sz val="11"/>
        <rFont val="Calibri"/>
        <family val="2"/>
        <scheme val="minor"/>
      </rPr>
      <t xml:space="preserve"> for C-I, </t>
    </r>
    <r>
      <rPr>
        <b/>
        <sz val="11"/>
        <rFont val="Calibri"/>
        <family val="2"/>
        <scheme val="minor"/>
      </rPr>
      <t>2</t>
    </r>
    <r>
      <rPr>
        <sz val="11"/>
        <rFont val="Calibri"/>
        <family val="2"/>
        <scheme val="minor"/>
      </rPr>
      <t xml:space="preserve"> for C-II, </t>
    </r>
    <r>
      <rPr>
        <b/>
        <sz val="11"/>
        <rFont val="Calibri"/>
        <family val="2"/>
        <scheme val="minor"/>
      </rPr>
      <t>1</t>
    </r>
    <r>
      <rPr>
        <sz val="11"/>
        <rFont val="Calibri"/>
        <family val="2"/>
        <scheme val="minor"/>
      </rPr>
      <t xml:space="preserve"> for C-III or C-IV or C-V, </t>
    </r>
    <r>
      <rPr>
        <b/>
        <sz val="11"/>
        <rFont val="Calibri"/>
        <family val="2"/>
        <scheme val="minor"/>
      </rPr>
      <t>0</t>
    </r>
    <r>
      <rPr>
        <sz val="11"/>
        <rFont val="Calibri"/>
        <family val="2"/>
        <scheme val="minor"/>
      </rPr>
      <t xml:space="preserve"> for non-sched</t>
    </r>
  </si>
  <si>
    <r>
      <rPr>
        <b/>
        <sz val="11"/>
        <rFont val="Calibri"/>
        <family val="2"/>
        <scheme val="minor"/>
      </rPr>
      <t>Enter number of products</t>
    </r>
    <r>
      <rPr>
        <sz val="11"/>
        <rFont val="Calibri"/>
        <family val="2"/>
        <scheme val="minor"/>
      </rPr>
      <t xml:space="preserve"> (1 for one, 2 for two, 3 for three, etc).  Note that active drug and matching placebo = 2; high dose, low dose and placebo = 3; etc.</t>
    </r>
  </si>
  <si>
    <r>
      <rPr>
        <b/>
        <sz val="11"/>
        <rFont val="Calibri"/>
        <family val="2"/>
        <scheme val="minor"/>
      </rPr>
      <t>Yes or No</t>
    </r>
    <r>
      <rPr>
        <sz val="11"/>
        <rFont val="Calibri"/>
        <family val="2"/>
        <scheme val="minor"/>
      </rPr>
      <t>.  The 24/7 requires separate inpatient staff procedures and staff training and setup, plus carrying protocol information when on-call</t>
    </r>
  </si>
  <si>
    <r>
      <rPr>
        <b/>
        <sz val="11"/>
        <rFont val="Calibri"/>
        <family val="2"/>
        <scheme val="minor"/>
      </rPr>
      <t>Enter # of other countries (not sites) involved.</t>
    </r>
    <r>
      <rPr>
        <sz val="11"/>
        <rFont val="Calibri"/>
        <family val="2"/>
        <scheme val="minor"/>
      </rPr>
      <t xml:space="preserve">  Example, if Canadian sites enter (1); if Canada and Mexico, enter (2).  This figure is an allowance for determining import/export requirements but does not include applying for import licenses.  Local PI is typically responsible for that step.</t>
    </r>
  </si>
  <si>
    <t>Fee Name</t>
  </si>
  <si>
    <t>Rate   (FY2018)</t>
  </si>
  <si>
    <t>Academic External Rate (+ 26%)</t>
  </si>
  <si>
    <t>Industry External Rate (+ 62%)</t>
  </si>
  <si>
    <t>Rate   (FY2019)    (10% incr)</t>
  </si>
  <si>
    <t>Compounding</t>
  </si>
  <si>
    <t>Capsule Manufacturing (per 100 caps)</t>
  </si>
  <si>
    <t>Capsules (each) precision-weighed on Mettler Quantos</t>
  </si>
  <si>
    <t>Capsules (hand-made) - each</t>
  </si>
  <si>
    <t>Dispensing</t>
  </si>
  <si>
    <t>Blister Card Dispense (multiple)</t>
  </si>
  <si>
    <t>Chemotherapy</t>
  </si>
  <si>
    <t>Chemotherapy (includes infusion set purchase, attached and primed)</t>
  </si>
  <si>
    <t>Dispensing - No Additional Charge</t>
  </si>
  <si>
    <t>Kit Dispense</t>
  </si>
  <si>
    <t>Kit Transfer to Clinic</t>
  </si>
  <si>
    <t>Outpatient Prescription - Kit Dispense</t>
  </si>
  <si>
    <t>Outpatient Rx - Complex</t>
  </si>
  <si>
    <t>Outpatient Rx - Moderate</t>
  </si>
  <si>
    <t>Outpatient Rx - Multiple Bottles</t>
  </si>
  <si>
    <t>Outpatient Rx - Simple</t>
  </si>
  <si>
    <t>Outpatient Rx - very simple</t>
  </si>
  <si>
    <t>SHARPS Container purchase &amp; dispense</t>
  </si>
  <si>
    <t>Special Handling</t>
  </si>
  <si>
    <t>Special Preparation</t>
  </si>
  <si>
    <t>Sterile Infusion - special preparation</t>
  </si>
  <si>
    <t>Sterile Prep - Arginine 10% (Includes Drug Cost)</t>
  </si>
  <si>
    <t>Sterile Prep - complex</t>
  </si>
  <si>
    <t>Sterile Prep - moderate</t>
  </si>
  <si>
    <t>Sterile Prep - simple</t>
  </si>
  <si>
    <t>Sterile Preparation - Stable Isotopes</t>
  </si>
  <si>
    <t xml:space="preserve">Stock Transfer to Laboratory </t>
  </si>
  <si>
    <t>Stock Transfer to Site</t>
  </si>
  <si>
    <t>Inventory</t>
  </si>
  <si>
    <t>Drug Storage Only</t>
  </si>
  <si>
    <t>Monthly Costs - protocol still active at sponsor request, alert IDS immediately when closed with IRB</t>
  </si>
  <si>
    <t>Protocol Maintenance (Annual)</t>
  </si>
  <si>
    <t>Protocol Maintenance (Annual)  Tier 1</t>
  </si>
  <si>
    <t>Protocol Maintenance (Annual)  Tier 2</t>
  </si>
  <si>
    <t>Protocol Maintenance (Annual)  Tier 3</t>
  </si>
  <si>
    <t>Protocol Maintenance (Annual)  Tier 4</t>
  </si>
  <si>
    <t>Protocol Maintenance (Annual)  Tier 5</t>
  </si>
  <si>
    <t>Sponsor request to transcribe IDS records onto separate paper form</t>
  </si>
  <si>
    <t>Other</t>
  </si>
  <si>
    <t>Bioburden (Colony Count - USP &lt;61/62&gt;)</t>
  </si>
  <si>
    <t>Clinical Services Fee</t>
  </si>
  <si>
    <t>Colony Count (e-Coli / water quality)</t>
  </si>
  <si>
    <t>Credit</t>
  </si>
  <si>
    <t>Deliverable Volume Test (USP &lt;698&gt;)</t>
  </si>
  <si>
    <t>Delivery Fee</t>
  </si>
  <si>
    <t>Drug Purchase:</t>
  </si>
  <si>
    <t>External Vendor Expense</t>
  </si>
  <si>
    <t>Particulate Testing (USP &lt;788&gt;)</t>
  </si>
  <si>
    <t>pH of Sample (USP&lt;791&gt;)</t>
  </si>
  <si>
    <r>
      <t xml:space="preserve">Pyrogen (Limulus) Testing  </t>
    </r>
    <r>
      <rPr>
        <i/>
        <sz val="14"/>
        <color theme="1"/>
        <rFont val="Calibri"/>
        <family val="2"/>
        <scheme val="minor"/>
      </rPr>
      <t>(higher increase due to new rate analysis)</t>
    </r>
  </si>
  <si>
    <t>Shipping cost</t>
  </si>
  <si>
    <t xml:space="preserve">Special Purchase: </t>
  </si>
  <si>
    <t>Sterility Testing (14 Day Incubation, USP&lt;71&gt;)</t>
  </si>
  <si>
    <t>Sterility Testing (Rapid Microbial Assay)</t>
  </si>
  <si>
    <t>Patient</t>
  </si>
  <si>
    <t>Patient Randomization Fees</t>
  </si>
  <si>
    <t>Setup</t>
  </si>
  <si>
    <t>Closing Fees (we charge these up-front in advance - costs for trial closure and archival)</t>
  </si>
  <si>
    <t>Setup Fees</t>
  </si>
  <si>
    <t>Storage</t>
  </si>
  <si>
    <t>Manual Temperature Records</t>
  </si>
  <si>
    <t>NOTE - MONTHLY FEES ARE LEGACY ONLY - FOR TRIALS OPENED PRIOR TO 2017 - DO NOT USE FOR ANY NEW TRIALS</t>
  </si>
  <si>
    <t>Monthly Protocol Maintenance - Tier 1</t>
  </si>
  <si>
    <t>Monthly Protocol Maintenance - Tier 2</t>
  </si>
  <si>
    <t>Monthly Protocol Maintenance - Tier 3</t>
  </si>
  <si>
    <t>Monthly Protocol Maintenance - Tier 4</t>
  </si>
  <si>
    <t>Monthly Protocol Maintenance - Tier 5</t>
  </si>
  <si>
    <t>Monthly Protocol Maintenance - Tier 6</t>
  </si>
  <si>
    <t>March 2017 - Feb 2018 Numbers</t>
  </si>
  <si>
    <t>RATE FY18</t>
  </si>
  <si>
    <t>GROSS</t>
  </si>
  <si>
    <t>NET (not incl labor)</t>
  </si>
  <si>
    <t>RATE FY19</t>
  </si>
  <si>
    <t>ANNUALIZED</t>
  </si>
  <si>
    <t>Bioburden</t>
  </si>
  <si>
    <t>eColi</t>
  </si>
  <si>
    <t>Deliverable Volume</t>
  </si>
  <si>
    <t>Particulates</t>
  </si>
  <si>
    <t>pH</t>
  </si>
  <si>
    <t>Pyrogen</t>
  </si>
  <si>
    <t>Sterility</t>
  </si>
  <si>
    <t>NET (non-labor)</t>
  </si>
  <si>
    <t>Bioburden and eColi Costs:</t>
  </si>
  <si>
    <t>Machine 1600 / (5 x 109) = $3/test</t>
  </si>
  <si>
    <t>Test Kits 275/100 = $3/test (figure $5/test due to waste - short expiry)</t>
  </si>
  <si>
    <t>TOTAL:  $ 8</t>
  </si>
  <si>
    <t>Deliverable Volume:</t>
  </si>
  <si>
    <t>No material costs - labor only</t>
  </si>
  <si>
    <t>Particulates:</t>
  </si>
  <si>
    <t>Light box $125 / (5 x 4) = $6/test</t>
  </si>
  <si>
    <t>pH:</t>
  </si>
  <si>
    <t>Machine $375 / (5 x 42) = $2/test</t>
  </si>
  <si>
    <t>Buffer solutions $30/yr / 42 = $1/test</t>
  </si>
  <si>
    <t>TOTAL: $ 3/test</t>
  </si>
  <si>
    <t>Pyrogen:</t>
  </si>
  <si>
    <t>Machine $8000 / (5 x 47) = $34/test</t>
  </si>
  <si>
    <t>Cartridges $36/test x 1.25  (20% waste) = $45</t>
  </si>
  <si>
    <t>Calibration $500/yr / 47 = $1/test</t>
  </si>
  <si>
    <t>TOTAL: $80/test</t>
  </si>
  <si>
    <t>Sterility:</t>
  </si>
  <si>
    <t>Machine $6k / 4yrs (4 x 373) = $4/test</t>
  </si>
  <si>
    <t>If new machine $16k/5yrs = $9/test</t>
  </si>
  <si>
    <t>Disposables (test bottles, etc) $ 9/test</t>
  </si>
  <si>
    <t>Certification:  $ 350/yr / 373 = $1/test</t>
  </si>
  <si>
    <t>TOTAL:  $14/test (current machine), $19/test (new machine)</t>
  </si>
  <si>
    <t xml:space="preserve">     Coordination with other clinical sites or pharmacies</t>
  </si>
  <si>
    <t># of Agents</t>
  </si>
  <si>
    <t>Blinding</t>
  </si>
  <si>
    <t>Monitoring</t>
  </si>
  <si>
    <t>Minimal</t>
  </si>
  <si>
    <t xml:space="preserve">     Enrollment outside IDS hours (7am-530pm M-F, 8am-330pm Sat/Sun)</t>
  </si>
  <si>
    <t xml:space="preserve">     Assistance with protocol language or CMC</t>
  </si>
  <si>
    <t xml:space="preserve">     Dosing outside IDS hours (patients can enroll during regular IDS hours)</t>
  </si>
  <si>
    <t xml:space="preserve">     Attend an off-campus meeting</t>
  </si>
  <si>
    <t xml:space="preserve">     Sponsor requires user training or certifications outside of the SIV</t>
  </si>
  <si>
    <t xml:space="preserve">     Other (explain):</t>
  </si>
  <si>
    <t>Preparation Prior to Dispense</t>
  </si>
  <si>
    <t># of Locations</t>
  </si>
  <si>
    <t>None</t>
  </si>
  <si>
    <t>Simple</t>
  </si>
  <si>
    <t>Advanced</t>
  </si>
  <si>
    <t>Intensive</t>
  </si>
  <si>
    <t>Tier 1</t>
  </si>
  <si>
    <t>Tier 2</t>
  </si>
  <si>
    <t>Routine</t>
  </si>
  <si>
    <t>Tier 3</t>
  </si>
  <si>
    <t>Tier 4</t>
  </si>
  <si>
    <t>Tier 5</t>
  </si>
  <si>
    <t>Tier 6</t>
  </si>
  <si>
    <t>Definition</t>
  </si>
  <si>
    <t>Manufacture of gelatin capsules - simple powder fill or a drug tablet or capsule inside an opaque shell.  Costs include materials and labor except for the drug itself.</t>
  </si>
  <si>
    <t>Dispensing of stable isotopes in syringe or infusion bag/bottle.  Includes weighing and dilution and sterilization of powders</t>
  </si>
  <si>
    <t>Lab testing for bacterial bioburden (typically for oral or topical preparations)</t>
  </si>
  <si>
    <t>Lab testing for eColi (typically for oral or topical preparations)</t>
  </si>
  <si>
    <t>Official USP test for recoverable volume of a liquid product from filled containers</t>
  </si>
  <si>
    <t>Lab testing - Official USP test for presence of particulates in a solution</t>
  </si>
  <si>
    <t>Lab testing of liquid sample for pH</t>
  </si>
  <si>
    <t>Lab testing - official USP direct inoculation method for growth of microorganisms</t>
  </si>
  <si>
    <t>Lab testing - rapid test for growth of microorganisms</t>
  </si>
  <si>
    <t>Weekly cost, if sponsor requires IDS maintain separate written daily temperature logs (separate from primary system)</t>
  </si>
  <si>
    <t>Category</t>
  </si>
  <si>
    <t>26 Digit Study Account</t>
  </si>
  <si>
    <t>Cnac</t>
  </si>
  <si>
    <t>Org</t>
  </si>
  <si>
    <t>BC</t>
  </si>
  <si>
    <t>Fund</t>
  </si>
  <si>
    <t>Prog</t>
  </si>
  <si>
    <t>Cref</t>
  </si>
  <si>
    <t>Dispensing &amp; Meds</t>
  </si>
  <si>
    <t># of Subjects</t>
  </si>
  <si>
    <r>
      <t xml:space="preserve">Simple: </t>
    </r>
    <r>
      <rPr>
        <sz val="11"/>
        <color theme="1"/>
        <rFont val="Calibri"/>
        <family val="2"/>
        <scheme val="minor"/>
      </rPr>
      <t>something pre-packaged (example - an industry trial with blinded bottles and unique serial numbers).</t>
    </r>
  </si>
  <si>
    <r>
      <t xml:space="preserve">None: </t>
    </r>
    <r>
      <rPr>
        <sz val="11"/>
        <color theme="1"/>
        <rFont val="Calibri"/>
        <family val="2"/>
        <scheme val="minor"/>
      </rPr>
      <t>no blinding</t>
    </r>
  </si>
  <si>
    <r>
      <rPr>
        <b/>
        <sz val="11"/>
        <color theme="1"/>
        <rFont val="Calibri"/>
        <family val="2"/>
        <scheme val="minor"/>
      </rPr>
      <t>Advanced:</t>
    </r>
    <r>
      <rPr>
        <sz val="11"/>
        <color theme="1"/>
        <rFont val="Calibri"/>
        <family val="2"/>
        <scheme val="minor"/>
      </rPr>
      <t xml:space="preserve">  need to actively mask the products (covering the bag and tubing with a sheath, or wrapping syringes with colored overlays)</t>
    </r>
  </si>
  <si>
    <r>
      <rPr>
        <b/>
        <sz val="11"/>
        <color theme="1"/>
        <rFont val="Calibri"/>
        <family val="2"/>
        <scheme val="minor"/>
      </rPr>
      <t>Minimal:</t>
    </r>
    <r>
      <rPr>
        <sz val="11"/>
        <color theme="1"/>
        <rFont val="Calibri"/>
        <family val="2"/>
        <scheme val="minor"/>
      </rPr>
      <t xml:space="preserve"> once/year or less (Ex. Contracting with OCR to do a single monitoring visit, or send someone in-house to do a single monitoring visit as due diligence)</t>
    </r>
  </si>
  <si>
    <r>
      <rPr>
        <b/>
        <sz val="11"/>
        <color theme="1"/>
        <rFont val="Calibri"/>
        <family val="2"/>
        <scheme val="minor"/>
      </rPr>
      <t>Routine:</t>
    </r>
    <r>
      <rPr>
        <sz val="11"/>
        <color theme="1"/>
        <rFont val="Calibri"/>
        <family val="2"/>
        <scheme val="minor"/>
      </rPr>
      <t xml:space="preserve"> typical industry trial – where sponsor may send someone out 2-4 times per year.</t>
    </r>
  </si>
  <si>
    <t>Enter the # of agents that IDS will be responsible for managing and maintaining</t>
  </si>
  <si>
    <r>
      <rPr>
        <b/>
        <sz val="11"/>
        <color theme="1"/>
        <rFont val="Calibri"/>
        <family val="2"/>
        <scheme val="minor"/>
      </rPr>
      <t>None</t>
    </r>
    <r>
      <rPr>
        <sz val="11"/>
        <color theme="1"/>
        <rFont val="Calibri"/>
        <family val="2"/>
        <scheme val="minor"/>
      </rPr>
      <t>: product is already ready-for-use, just requires labeling</t>
    </r>
  </si>
  <si>
    <r>
      <rPr>
        <b/>
        <sz val="11"/>
        <color theme="1"/>
        <rFont val="Calibri"/>
        <family val="2"/>
        <scheme val="minor"/>
      </rPr>
      <t>Minimal:</t>
    </r>
    <r>
      <rPr>
        <sz val="11"/>
        <color theme="1"/>
        <rFont val="Calibri"/>
        <family val="2"/>
        <scheme val="minor"/>
      </rPr>
      <t xml:space="preserve"> product requires repackaging or other preparation prior to dispensing</t>
    </r>
  </si>
  <si>
    <r>
      <rPr>
        <b/>
        <sz val="11"/>
        <color theme="1"/>
        <rFont val="Calibri"/>
        <family val="2"/>
        <scheme val="minor"/>
      </rPr>
      <t xml:space="preserve">Advanced: </t>
    </r>
    <r>
      <rPr>
        <sz val="11"/>
        <color theme="1"/>
        <rFont val="Calibri"/>
        <family val="2"/>
        <scheme val="minor"/>
      </rPr>
      <t>product requires several steps of mixing or manipulation prior to dispensing</t>
    </r>
  </si>
  <si>
    <t>Enter the number of locations the study is taking place or the number of locations IDS  will store products(ex. at both HUP and PPMC, or IDS storing product product in other locations such as maintaining starter kits in the emergency department)</t>
  </si>
  <si>
    <t>Annual Maintenance</t>
  </si>
  <si>
    <r>
      <rPr>
        <b/>
        <sz val="11"/>
        <color theme="1"/>
        <rFont val="Calibri"/>
        <family val="2"/>
        <scheme val="minor"/>
      </rPr>
      <t>Intensive:</t>
    </r>
    <r>
      <rPr>
        <sz val="11"/>
        <color theme="1"/>
        <rFont val="Calibri"/>
        <family val="2"/>
        <scheme val="minor"/>
      </rPr>
      <t xml:space="preserve"> would be frequent visits (such as every 4-6 weeks) or long visits (such as DAIDS/NIAID auditors that spend an entire day,every quarter)</t>
    </r>
  </si>
  <si>
    <t>Please complete the above table to determine the level of maintenance required. Descriptions for each column are detailed below.</t>
  </si>
  <si>
    <r>
      <rPr>
        <b/>
        <sz val="11"/>
        <rFont val="Calibri"/>
        <family val="2"/>
        <scheme val="minor"/>
      </rPr>
      <t>1</t>
    </r>
    <r>
      <rPr>
        <sz val="11"/>
        <rFont val="Calibri"/>
        <family val="2"/>
        <scheme val="minor"/>
      </rPr>
      <t xml:space="preserve"> for yes, </t>
    </r>
    <r>
      <rPr>
        <b/>
        <sz val="11"/>
        <rFont val="Calibri"/>
        <family val="2"/>
        <scheme val="minor"/>
      </rPr>
      <t>0</t>
    </r>
    <r>
      <rPr>
        <sz val="11"/>
        <rFont val="Calibri"/>
        <family val="2"/>
        <scheme val="minor"/>
      </rPr>
      <t xml:space="preserve"> for no.  Figure assumes 1 pharm and 1 tech x 1 hour each.  If team or sponsor provides enough additional detail to determine, you can calculate figure based on # of people required x # hours of training (eg. 4 staff x 0.5 hour = 2 hr total)</t>
    </r>
  </si>
  <si>
    <t>Testing</t>
  </si>
  <si>
    <t># of Tests</t>
  </si>
  <si>
    <t>Industry External</t>
  </si>
  <si>
    <t>Service Count</t>
  </si>
  <si>
    <t>Rate</t>
  </si>
  <si>
    <t>Price</t>
  </si>
  <si>
    <t>Drugs to be Purchased</t>
  </si>
  <si>
    <t>Type</t>
  </si>
  <si>
    <r>
      <t xml:space="preserve">Service </t>
    </r>
    <r>
      <rPr>
        <b/>
        <i/>
        <sz val="9"/>
        <color rgb="FFFF0000"/>
        <rFont val="Calibri"/>
        <family val="2"/>
        <scheme val="minor"/>
      </rPr>
      <t>(dropdown - refer to list on the right for info)</t>
    </r>
  </si>
  <si>
    <r>
      <t>Dispensing Service</t>
    </r>
    <r>
      <rPr>
        <b/>
        <i/>
        <sz val="11"/>
        <color theme="1"/>
        <rFont val="Calibri"/>
        <family val="2"/>
        <scheme val="minor"/>
      </rPr>
      <t xml:space="preserve"> </t>
    </r>
    <r>
      <rPr>
        <b/>
        <i/>
        <sz val="9"/>
        <color rgb="FFFF0000"/>
        <rFont val="Calibri"/>
        <family val="2"/>
        <scheme val="minor"/>
      </rPr>
      <t>(dropdown - refer to list on the right for info)</t>
    </r>
  </si>
  <si>
    <r>
      <t>Service</t>
    </r>
    <r>
      <rPr>
        <b/>
        <i/>
        <sz val="11"/>
        <color rgb="FFFF0000"/>
        <rFont val="Calibri"/>
        <family val="2"/>
        <scheme val="minor"/>
      </rPr>
      <t xml:space="preserve"> </t>
    </r>
    <r>
      <rPr>
        <b/>
        <i/>
        <sz val="9"/>
        <color rgb="FFFF0000"/>
        <rFont val="Calibri"/>
        <family val="2"/>
        <scheme val="minor"/>
      </rPr>
      <t>(dropdown - refer to list on the right for info)</t>
    </r>
  </si>
  <si>
    <t>Notes/Comments</t>
  </si>
  <si>
    <t>Service Name</t>
  </si>
  <si>
    <t>Amount Per</t>
  </si>
  <si>
    <t>Total Price</t>
  </si>
  <si>
    <t>Price per</t>
  </si>
  <si>
    <r>
      <t xml:space="preserve">*** </t>
    </r>
    <r>
      <rPr>
        <b/>
        <i/>
        <sz val="11"/>
        <color theme="1"/>
        <rFont val="Calibri"/>
        <family val="2"/>
        <scheme val="minor"/>
      </rPr>
      <t>Please enter the price for each drug</t>
    </r>
  </si>
  <si>
    <t>Please Select Rate Category:</t>
  </si>
  <si>
    <t>Please complete this worksheet as accurately as possible to make sure you receive an accurate estimate!</t>
  </si>
  <si>
    <t>estimate will be prepared and sent to you, based on your input.</t>
  </si>
  <si>
    <t>Protocol Cover Sheet</t>
  </si>
  <si>
    <t>Please complete all sections highlighted in blue. All sections are required.</t>
  </si>
  <si>
    <t>Startup</t>
  </si>
  <si>
    <t>Please complete each section in column B. Refer to the instructions in column D for each section. All sections are</t>
  </si>
  <si>
    <t>required.</t>
  </si>
  <si>
    <t>Maintenance</t>
  </si>
  <si>
    <t>Please complete each cell color-coated in blue. Descriptions for each column are provided.</t>
  </si>
  <si>
    <t>Services &amp; Meds</t>
  </si>
  <si>
    <t>Please complete each section of the form if applicable(Compounding, Dispensing &amp; Meds, Testing, Inventory &amp;</t>
  </si>
  <si>
    <t xml:space="preserve"> Storage). Make sure to scroll down to see all the sections available.</t>
  </si>
  <si>
    <t>Compounding (Making capsules, ointments, suspensions, etc.)</t>
  </si>
  <si>
    <t>Testing (Laboratory testing such as sterility or drug potency)</t>
  </si>
  <si>
    <t>Please explain what needs to be made below. If a service is not listed under the service dropdown, please describe your request below.</t>
  </si>
  <si>
    <r>
      <t>IDS Service &amp; Medications Worksheet</t>
    </r>
    <r>
      <rPr>
        <b/>
        <i/>
        <u/>
        <sz val="10"/>
        <color theme="1"/>
        <rFont val="Calibri"/>
        <family val="2"/>
        <scheme val="minor"/>
      </rPr>
      <t xml:space="preserve"> </t>
    </r>
    <r>
      <rPr>
        <b/>
        <i/>
        <u/>
        <sz val="10"/>
        <color rgb="FFFF0000"/>
        <rFont val="Calibri"/>
        <family val="2"/>
        <scheme val="minor"/>
      </rPr>
      <t>(Please scroll down thru each section and complete where applicable)</t>
    </r>
  </si>
  <si>
    <t>IDS Purchase (Yes/No)</t>
  </si>
  <si>
    <r>
      <t xml:space="preserve">Protocol Setup Costs </t>
    </r>
    <r>
      <rPr>
        <b/>
        <i/>
        <u/>
        <sz val="10"/>
        <color rgb="FFFF0000"/>
        <rFont val="Calibri"/>
        <family val="2"/>
        <scheme val="minor"/>
      </rPr>
      <t>(Please complete all of column B. Be sure to scroll all the way down)</t>
    </r>
  </si>
  <si>
    <t>Med Name &amp; Dose (ex. Ibuprofen 5mg)</t>
  </si>
  <si>
    <t xml:space="preserve">Do you want IDS to formulate and manufacture any products?  If yes, </t>
  </si>
  <si>
    <r>
      <t xml:space="preserve">Drug Name &amp; Dose </t>
    </r>
    <r>
      <rPr>
        <b/>
        <i/>
        <sz val="10"/>
        <color rgb="FFFF0000"/>
        <rFont val="Calibri"/>
        <family val="2"/>
        <scheme val="minor"/>
      </rPr>
      <t>(Pulled from Protocol Cover Sheet)</t>
    </r>
  </si>
  <si>
    <r>
      <t xml:space="preserve">- </t>
    </r>
    <r>
      <rPr>
        <b/>
        <sz val="11"/>
        <color rgb="FFFF0000"/>
        <rFont val="Calibri"/>
        <family val="2"/>
        <scheme val="minor"/>
      </rPr>
      <t xml:space="preserve">Please complete the 4 tabs color-coated in blue(Protocol Cover Sheet, Startup, Maintenance &amp; Services </t>
    </r>
  </si>
  <si>
    <r>
      <t xml:space="preserve">Once complete, please email the worksheet to </t>
    </r>
    <r>
      <rPr>
        <b/>
        <u/>
        <sz val="11"/>
        <color theme="4" tint="-0.249977111117893"/>
        <rFont val="Calibri"/>
        <family val="2"/>
        <scheme val="minor"/>
      </rPr>
      <t>IDSBilling@pennmedicine.upenn.edu</t>
    </r>
    <r>
      <rPr>
        <b/>
        <sz val="11"/>
        <color theme="1"/>
        <rFont val="Calibri"/>
        <family val="2"/>
        <scheme val="minor"/>
      </rPr>
      <t>. After it has been reviewed, an</t>
    </r>
  </si>
  <si>
    <r>
      <rPr>
        <b/>
        <sz val="11"/>
        <color rgb="FFFF0000"/>
        <rFont val="Calibri"/>
        <family val="2"/>
        <scheme val="minor"/>
      </rPr>
      <t>&amp; Meds)</t>
    </r>
    <r>
      <rPr>
        <b/>
        <sz val="11"/>
        <color theme="1"/>
        <rFont val="Calibri"/>
        <family val="2"/>
        <scheme val="minor"/>
      </rPr>
      <t xml:space="preserve">. If you have any questions concerning anything, please contact </t>
    </r>
    <r>
      <rPr>
        <b/>
        <u/>
        <sz val="11"/>
        <color theme="4" tint="-0.249977111117893"/>
        <rFont val="Calibri"/>
        <family val="2"/>
        <scheme val="minor"/>
      </rPr>
      <t>IDSBilling@pennmedicine.upenn.edu</t>
    </r>
    <r>
      <rPr>
        <b/>
        <sz val="11"/>
        <color theme="1"/>
        <rFont val="Calibri"/>
        <family val="2"/>
        <scheme val="minor"/>
      </rPr>
      <t>.</t>
    </r>
  </si>
  <si>
    <t>Prescription Type(IV, Bottle, Tablet etc.)</t>
  </si>
  <si>
    <t># Visits/IP Days Drug Dispensed per Subject</t>
  </si>
  <si>
    <t># of Visits Per Subject</t>
  </si>
  <si>
    <t>Quantity Dispensed per Visit/IP day (If container, enter quantity inside container)</t>
  </si>
  <si>
    <t>Do you want IDS to custom-package any med (blister cards, tamper-evident bottles, etc?) Please explain</t>
  </si>
  <si>
    <t>Random</t>
  </si>
  <si>
    <t>Non-Industry</t>
  </si>
  <si>
    <t>Industry</t>
  </si>
  <si>
    <t>External</t>
  </si>
  <si>
    <t>Capsule Manufacturing (per 100 caps) -- simple</t>
  </si>
  <si>
    <t>Capsule Manufacturing (per 100 caps) -- complex</t>
  </si>
  <si>
    <t>Bulk Sterile Preparation (per 10 vials)</t>
  </si>
  <si>
    <t>Blister Card (each)</t>
  </si>
  <si>
    <t>Kit Preparation (each)</t>
  </si>
  <si>
    <t>Special preparations (each)</t>
  </si>
  <si>
    <t>Manufacture of gelatin capsules - specific amount of powder mixture inside a capsule; requires weight checks.  Costs include materials and labor except for the drug itself.</t>
  </si>
  <si>
    <t>Capsules individually weighed to within under 1mg accuracy.</t>
  </si>
  <si>
    <t>Sterile preparation of bulk drug products for distribution to another site</t>
  </si>
  <si>
    <t>Repackaging of capsules or tablets into blister cards.</t>
  </si>
  <si>
    <t>Repackaging of study drug/supplies into kits. Additional supply cost may apply.</t>
  </si>
  <si>
    <t>Solutions, suspensions, ointments, powder packaging and other non-capsule drug manufacturing. Additional supply cost may apply.</t>
  </si>
  <si>
    <t>Premedications do not require admixture; Pre-packaged/unit dose dispense, OTC medications (stock medications)</t>
  </si>
  <si>
    <t>Labeling only - sponsor provided or manufactured kits/blistercards, any non-hazardous that needs to be counted and repackaged into an Prescription bottle less than/equal to #120 tablets/capsules.</t>
  </si>
  <si>
    <t>Hazardous medications (oral chemotherapy or biologic), counting greater than # 121 tablets/capsules, or any other prescription which requires dose calculations or special handling</t>
  </si>
  <si>
    <t>Premedications/flushes - Simple syringe or minibag, no calculations requiring.</t>
  </si>
  <si>
    <t>Admixtures with minibag (less than or equal to 250 mL with additional tubing) or syringe preparation requiring more than one step or calculation of dose.</t>
  </si>
  <si>
    <t>Hazardous medication (chemotherapy and biologic) and non Hazardous medication admixtures that involve multiple preparation steps, blinding of the bag and/or reservoir (amber covering), or use of sponsor-supplied worksheets.</t>
  </si>
  <si>
    <t>Gene/Cell/Other study - with any infusion or injection requiring special handling, serial dilutions, filtration, with extensive sponsor documentation.</t>
  </si>
  <si>
    <t>IVRS Drug Assignment by IDS (Yes/No)</t>
  </si>
  <si>
    <t>IVRS Drug Assignment</t>
  </si>
  <si>
    <t>Particulate Testing (USP &lt;790&gt;)</t>
  </si>
  <si>
    <t>Endotoxin/Pyrogen Testing (USP &lt;85&gt;)</t>
  </si>
  <si>
    <t>HPLC Assay</t>
  </si>
  <si>
    <t>USP compliant lab testing for endotoxins/pyrogens in a solution</t>
  </si>
  <si>
    <t>Lab testing - HPLC potency testing</t>
  </si>
  <si>
    <t>Other (Leave blank if nothing in the dropdown list applies)</t>
  </si>
  <si>
    <t>Data entry in EDC/sponsor system – study drug dispensing, patient returns, drug destruction</t>
  </si>
  <si>
    <t>EDC data entry</t>
  </si>
  <si>
    <t xml:space="preserve">Medications: </t>
  </si>
  <si>
    <t>(If IDS needs to purchase the medication, please select "Yes" under the column "IDS Purchase (Yes/No)".</t>
  </si>
  <si>
    <t>IDS use only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</si>
</sst>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m/d/yy;@"/>
  </numFmts>
  <fonts count="52" x14ac:knownFonts="1">
    <font>
      <sz val="11"/>
      <color theme="1"/>
      <name val="Calibri"/>
      <family val="2"/>
      <scheme val="minor"/>
    </font>
    <font>
      <sz val="11"/>
      <color theme="1"/>
      <name val="Calibri"/>
      <family val="2"/>
      <scheme val="minor"/>
    </font>
    <font>
      <b/>
      <sz val="11"/>
      <color rgb="FF3F3F3F"/>
      <name val="Calibri"/>
      <family val="2"/>
      <scheme val="minor"/>
    </font>
    <font>
      <b/>
      <sz val="11"/>
      <color theme="1"/>
      <name val="Calibri"/>
      <family val="2"/>
      <scheme val="minor"/>
    </font>
    <font>
      <sz val="11"/>
      <color theme="1"/>
      <name val="Constantia"/>
      <family val="1"/>
    </font>
    <font>
      <sz val="10"/>
      <color theme="1"/>
      <name val="Constantia"/>
      <family val="1"/>
    </font>
    <font>
      <vertAlign val="superscript"/>
      <sz val="10"/>
      <color theme="1"/>
      <name val="Constantia"/>
      <family val="1"/>
    </font>
    <font>
      <sz val="10"/>
      <color rgb="FFFF0000"/>
      <name val="Constantia"/>
      <family val="1"/>
    </font>
    <font>
      <sz val="11"/>
      <name val="Calibri"/>
      <family val="2"/>
      <scheme val="minor"/>
    </font>
    <font>
      <u/>
      <sz val="11"/>
      <color theme="10"/>
      <name val="Calibri"/>
      <family val="2"/>
      <scheme val="minor"/>
    </font>
    <font>
      <b/>
      <sz val="12"/>
      <color theme="1"/>
      <name val="Calibri"/>
      <family val="2"/>
      <scheme val="minor"/>
    </font>
    <font>
      <b/>
      <sz val="14"/>
      <color theme="1"/>
      <name val="Calibri"/>
      <family val="2"/>
      <scheme val="minor"/>
    </font>
    <font>
      <b/>
      <sz val="20"/>
      <color theme="1"/>
      <name val="Calibri"/>
      <family val="2"/>
      <scheme val="minor"/>
    </font>
    <font>
      <b/>
      <i/>
      <u/>
      <sz val="12"/>
      <color theme="1"/>
      <name val="Calibri"/>
      <family val="2"/>
      <scheme val="minor"/>
    </font>
    <font>
      <b/>
      <i/>
      <sz val="12"/>
      <color theme="1"/>
      <name val="Calibri"/>
      <family val="2"/>
      <scheme val="minor"/>
    </font>
    <font>
      <sz val="11"/>
      <color theme="10"/>
      <name val="Calibri"/>
      <family val="2"/>
      <scheme val="minor"/>
    </font>
    <font>
      <sz val="10"/>
      <color theme="1"/>
      <name val="Calibri"/>
      <family val="2"/>
      <scheme val="minor"/>
    </font>
    <font>
      <sz val="9"/>
      <color theme="1"/>
      <name val="Calibri"/>
      <family val="2"/>
      <scheme val="minor"/>
    </font>
    <font>
      <b/>
      <sz val="14"/>
      <name val="Calibri"/>
      <family val="2"/>
      <scheme val="minor"/>
    </font>
    <font>
      <b/>
      <sz val="11"/>
      <name val="Calibri"/>
      <family val="2"/>
      <scheme val="minor"/>
    </font>
    <font>
      <sz val="14"/>
      <name val="Calibri"/>
      <family val="2"/>
      <scheme val="minor"/>
    </font>
    <font>
      <b/>
      <sz val="12"/>
      <name val="Calibri"/>
      <family val="2"/>
      <scheme val="minor"/>
    </font>
    <font>
      <sz val="12"/>
      <name val="Calibri"/>
      <family val="2"/>
      <scheme val="minor"/>
    </font>
    <font>
      <b/>
      <i/>
      <sz val="12"/>
      <name val="Calibri"/>
      <family val="2"/>
      <scheme val="minor"/>
    </font>
    <font>
      <b/>
      <sz val="16"/>
      <name val="Calibri"/>
      <family val="2"/>
      <scheme val="minor"/>
    </font>
    <font>
      <b/>
      <sz val="9"/>
      <color theme="1"/>
      <name val="Calibri"/>
      <family val="2"/>
      <scheme val="minor"/>
    </font>
    <font>
      <sz val="14"/>
      <color theme="1"/>
      <name val="Calibri"/>
      <family val="2"/>
      <scheme val="minor"/>
    </font>
    <font>
      <sz val="18"/>
      <color theme="1"/>
      <name val="Calibri"/>
      <family val="2"/>
      <scheme val="minor"/>
    </font>
    <font>
      <i/>
      <sz val="14"/>
      <color theme="1"/>
      <name val="Calibri"/>
      <family val="2"/>
      <scheme val="minor"/>
    </font>
    <font>
      <b/>
      <sz val="11"/>
      <color rgb="FFFF0000"/>
      <name val="Calibri"/>
      <family val="2"/>
      <scheme val="minor"/>
    </font>
    <font>
      <sz val="12"/>
      <color theme="1"/>
      <name val="Calibri"/>
      <family val="2"/>
      <scheme val="minor"/>
    </font>
    <font>
      <b/>
      <u/>
      <sz val="14"/>
      <color theme="1"/>
      <name val="Calibri"/>
      <family val="2"/>
      <scheme val="minor"/>
    </font>
    <font>
      <b/>
      <sz val="10"/>
      <color theme="1"/>
      <name val="Calibri"/>
      <family val="2"/>
      <scheme val="minor"/>
    </font>
    <font>
      <b/>
      <i/>
      <sz val="11"/>
      <color rgb="FFFF0000"/>
      <name val="Calibri"/>
      <family val="2"/>
      <scheme val="minor"/>
    </font>
    <font>
      <i/>
      <sz val="11"/>
      <color rgb="FFFF0000"/>
      <name val="Calibri"/>
      <family val="2"/>
      <scheme val="minor"/>
    </font>
    <font>
      <b/>
      <sz val="11"/>
      <color theme="5" tint="-0.499984740745262"/>
      <name val="Calibri"/>
      <family val="2"/>
      <scheme val="minor"/>
    </font>
    <font>
      <b/>
      <u/>
      <sz val="12"/>
      <color theme="5" tint="-0.499984740745262"/>
      <name val="Calibri"/>
      <family val="2"/>
      <scheme val="minor"/>
    </font>
    <font>
      <b/>
      <i/>
      <u/>
      <sz val="10"/>
      <color theme="1"/>
      <name val="Calibri"/>
      <family val="2"/>
      <scheme val="minor"/>
    </font>
    <font>
      <b/>
      <i/>
      <sz val="9"/>
      <color rgb="FFFF0000"/>
      <name val="Calibri"/>
      <family val="2"/>
      <scheme val="minor"/>
    </font>
    <font>
      <b/>
      <i/>
      <u/>
      <sz val="10"/>
      <color rgb="FFFF0000"/>
      <name val="Calibri"/>
      <family val="2"/>
      <scheme val="minor"/>
    </font>
    <font>
      <b/>
      <u/>
      <sz val="14"/>
      <name val="Calibri"/>
      <family val="2"/>
      <scheme val="minor"/>
    </font>
    <font>
      <u/>
      <sz val="11"/>
      <color theme="1"/>
      <name val="Calibri"/>
      <family val="2"/>
      <scheme val="minor"/>
    </font>
    <font>
      <b/>
      <i/>
      <sz val="11"/>
      <color theme="1"/>
      <name val="Calibri"/>
      <family val="2"/>
      <scheme val="minor"/>
    </font>
    <font>
      <b/>
      <u/>
      <sz val="11"/>
      <color theme="4" tint="-0.249977111117893"/>
      <name val="Calibri"/>
      <family val="2"/>
      <scheme val="minor"/>
    </font>
    <font>
      <b/>
      <i/>
      <u/>
      <sz val="11"/>
      <color theme="1"/>
      <name val="Calibri"/>
      <family val="2"/>
      <scheme val="minor"/>
    </font>
    <font>
      <b/>
      <sz val="8"/>
      <color theme="1"/>
      <name val="Calibri"/>
      <family val="2"/>
      <scheme val="minor"/>
    </font>
    <font>
      <b/>
      <i/>
      <sz val="18"/>
      <color theme="1"/>
      <name val="Arial"/>
      <family val="2"/>
    </font>
    <font>
      <sz val="11"/>
      <color theme="1"/>
      <name val="Arial"/>
      <family val="2"/>
    </font>
    <font>
      <b/>
      <i/>
      <sz val="10"/>
      <color rgb="FFFF0000"/>
      <name val="Calibri"/>
      <family val="2"/>
      <scheme val="minor"/>
    </font>
    <font>
      <sz val="8"/>
      <color rgb="FF000000"/>
      <name val="Segoe UI"/>
      <family val="2"/>
    </font>
    <font>
      <sz val="11"/>
      <color theme="0"/>
      <name val="Calibri"/>
      <family val="2"/>
      <scheme val="minor"/>
    </font>
    <font>
      <b/>
      <i/>
      <u/>
      <sz val="12"/>
      <color rgb="FFFF0000"/>
      <name val="Calibri"/>
      <family val="2"/>
      <scheme val="minor"/>
    </font>
  </fonts>
  <fills count="23">
    <fill>
      <patternFill patternType="none"/>
    </fill>
    <fill>
      <patternFill patternType="gray125"/>
    </fill>
    <fill>
      <patternFill patternType="solid">
        <fgColor rgb="FFF2F2F2"/>
      </patternFill>
    </fill>
    <fill>
      <patternFill patternType="solid">
        <fgColor rgb="FFF2F2F2"/>
        <bgColor indexed="64"/>
      </patternFill>
    </fill>
    <fill>
      <patternFill patternType="solid">
        <fgColor theme="3" tint="0.79998168889431442"/>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4" tint="0.79998168889431442"/>
        <bgColor indexed="64"/>
      </patternFill>
    </fill>
    <fill>
      <patternFill patternType="solid">
        <fgColor theme="2"/>
        <bgColor indexed="64"/>
      </patternFill>
    </fill>
    <fill>
      <patternFill patternType="solid">
        <fgColor theme="0" tint="-4.9989318521683403E-2"/>
        <bgColor indexed="64"/>
      </patternFill>
    </fill>
    <fill>
      <patternFill patternType="solid">
        <fgColor theme="0"/>
        <bgColor indexed="64"/>
      </patternFill>
    </fill>
    <fill>
      <patternFill patternType="solid">
        <fgColor theme="0" tint="-0.14999847407452621"/>
        <bgColor indexed="64"/>
      </patternFill>
    </fill>
    <fill>
      <patternFill patternType="solid">
        <fgColor rgb="FFFFFF00"/>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6" tint="0.59999389629810485"/>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0" tint="-0.249977111117893"/>
        <bgColor indexed="64"/>
      </patternFill>
    </fill>
    <fill>
      <patternFill patternType="solid">
        <fgColor theme="3" tint="0.59999389629810485"/>
        <bgColor indexed="64"/>
      </patternFill>
    </fill>
    <fill>
      <patternFill patternType="solid">
        <fgColor theme="9" tint="0.59999389629810485"/>
        <bgColor indexed="64"/>
      </patternFill>
    </fill>
    <fill>
      <patternFill patternType="solid">
        <fgColor theme="2" tint="-9.9978637043366805E-2"/>
        <bgColor indexed="64"/>
      </patternFill>
    </fill>
    <fill>
      <patternFill patternType="solid">
        <fgColor rgb="FFFF0000"/>
        <bgColor indexed="64"/>
      </patternFill>
    </fill>
  </fills>
  <borders count="52">
    <border>
      <left/>
      <right/>
      <top/>
      <bottom/>
      <diagonal/>
    </border>
    <border>
      <left style="thin">
        <color rgb="FF3F3F3F"/>
      </left>
      <right style="thin">
        <color rgb="FF3F3F3F"/>
      </right>
      <top style="thin">
        <color rgb="FF3F3F3F"/>
      </top>
      <bottom style="thin">
        <color rgb="FF3F3F3F"/>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auto="1"/>
      </left>
      <right style="thin">
        <color auto="1"/>
      </right>
      <top style="thin">
        <color auto="1"/>
      </top>
      <bottom/>
      <diagonal/>
    </border>
    <border>
      <left style="thin">
        <color rgb="FF3F3F3F"/>
      </left>
      <right style="thin">
        <color rgb="FF3F3F3F"/>
      </right>
      <top style="thin">
        <color rgb="FF3F3F3F"/>
      </top>
      <bottom/>
      <diagonal/>
    </border>
    <border>
      <left style="thin">
        <color rgb="FF3F3F3F"/>
      </left>
      <right style="thin">
        <color rgb="FF3F3F3F"/>
      </right>
      <top/>
      <bottom/>
      <diagonal/>
    </border>
    <border>
      <left style="thin">
        <color rgb="FF3F3F3F"/>
      </left>
      <right style="thin">
        <color rgb="FF3F3F3F"/>
      </right>
      <top/>
      <bottom style="thin">
        <color rgb="FF3F3F3F"/>
      </bottom>
      <diagonal/>
    </border>
    <border>
      <left style="thin">
        <color rgb="FF3F3F3F"/>
      </left>
      <right/>
      <top/>
      <bottom style="thin">
        <color indexed="64"/>
      </bottom>
      <diagonal/>
    </border>
    <border>
      <left style="thin">
        <color rgb="FF3F3F3F"/>
      </left>
      <right/>
      <top style="thin">
        <color indexed="64"/>
      </top>
      <bottom style="thin">
        <color indexed="64"/>
      </bottom>
      <diagonal/>
    </border>
    <border>
      <left/>
      <right/>
      <top style="medium">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indexed="64"/>
      </left>
      <right style="thin">
        <color indexed="64"/>
      </right>
      <top/>
      <bottom/>
      <diagonal/>
    </border>
    <border>
      <left style="medium">
        <color theme="0"/>
      </left>
      <right style="medium">
        <color theme="0"/>
      </right>
      <top style="medium">
        <color theme="0"/>
      </top>
      <bottom style="medium">
        <color theme="0"/>
      </bottom>
      <diagonal/>
    </border>
    <border>
      <left style="thin">
        <color indexed="64"/>
      </left>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style="medium">
        <color indexed="64"/>
      </top>
      <bottom/>
      <diagonal/>
    </border>
    <border>
      <left style="thin">
        <color rgb="FF3F3F3F"/>
      </left>
      <right/>
      <top style="thin">
        <color indexed="64"/>
      </top>
      <bottom style="medium">
        <color indexed="64"/>
      </bottom>
      <diagonal/>
    </border>
    <border>
      <left style="thin">
        <color rgb="FF3F3F3F"/>
      </left>
      <right style="thin">
        <color rgb="FF3F3F3F"/>
      </right>
      <top style="thin">
        <color indexed="64"/>
      </top>
      <bottom style="medium">
        <color indexed="64"/>
      </bottom>
      <diagonal/>
    </border>
    <border>
      <left style="thin">
        <color rgb="FF3F3F3F"/>
      </left>
      <right/>
      <top/>
      <bottom/>
      <diagonal/>
    </border>
    <border>
      <left style="thin">
        <color rgb="FF3F3F3F"/>
      </left>
      <right style="thin">
        <color rgb="FF3F3F3F"/>
      </right>
      <top style="medium">
        <color indexed="64"/>
      </top>
      <bottom/>
      <diagonal/>
    </border>
    <border>
      <left/>
      <right style="medium">
        <color theme="0"/>
      </right>
      <top/>
      <bottom/>
      <diagonal/>
    </border>
    <border>
      <left style="medium">
        <color theme="0"/>
      </left>
      <right/>
      <top style="medium">
        <color theme="0"/>
      </top>
      <bottom style="medium">
        <color theme="0"/>
      </bottom>
      <diagonal/>
    </border>
    <border>
      <left/>
      <right style="medium">
        <color theme="0"/>
      </right>
      <top style="medium">
        <color indexed="64"/>
      </top>
      <bottom/>
      <diagonal/>
    </border>
    <border>
      <left style="thin">
        <color theme="0"/>
      </left>
      <right style="thin">
        <color theme="0"/>
      </right>
      <top style="thin">
        <color theme="0"/>
      </top>
      <bottom style="thin">
        <color theme="0"/>
      </bottom>
      <diagonal/>
    </border>
    <border>
      <left style="thin">
        <color theme="0"/>
      </left>
      <right style="thin">
        <color theme="0"/>
      </right>
      <top style="thin">
        <color indexed="64"/>
      </top>
      <bottom style="thin">
        <color theme="0"/>
      </bottom>
      <diagonal/>
    </border>
    <border>
      <left style="thin">
        <color theme="0"/>
      </left>
      <right style="thin">
        <color theme="0"/>
      </right>
      <top style="thin">
        <color theme="0"/>
      </top>
      <bottom style="thin">
        <color indexed="64"/>
      </bottom>
      <diagonal/>
    </border>
    <border>
      <left style="thin">
        <color theme="0"/>
      </left>
      <right style="thin">
        <color indexed="64"/>
      </right>
      <top style="thin">
        <color indexed="64"/>
      </top>
      <bottom/>
      <diagonal/>
    </border>
    <border>
      <left style="thin">
        <color theme="0"/>
      </left>
      <right style="thin">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theme="0"/>
      </left>
      <right style="medium">
        <color theme="0"/>
      </right>
      <top style="medium">
        <color theme="0"/>
      </top>
      <bottom/>
      <diagonal/>
    </border>
    <border>
      <left style="medium">
        <color theme="0"/>
      </left>
      <right/>
      <top style="medium">
        <color theme="0"/>
      </top>
      <bottom/>
      <diagonal/>
    </border>
  </borders>
  <cellStyleXfs count="4">
    <xf numFmtId="0" fontId="0" fillId="0" borderId="0"/>
    <xf numFmtId="44" fontId="1" fillId="0" borderId="0" applyFont="0" applyFill="0" applyBorder="0" applyAlignment="0" applyProtection="0"/>
    <xf numFmtId="0" fontId="2" fillId="2" borderId="1" applyNumberFormat="0" applyAlignment="0" applyProtection="0"/>
    <xf numFmtId="0" fontId="9" fillId="0" borderId="0" applyNumberFormat="0" applyFill="0" applyBorder="0" applyAlignment="0" applyProtection="0"/>
  </cellStyleXfs>
  <cellXfs count="479">
    <xf numFmtId="0" fontId="0" fillId="0" borderId="0" xfId="0"/>
    <xf numFmtId="0" fontId="0" fillId="0" borderId="0" xfId="0" applyAlignment="1">
      <alignment vertical="center" wrapText="1"/>
    </xf>
    <xf numFmtId="0" fontId="0" fillId="0" borderId="0" xfId="0" applyAlignment="1">
      <alignment horizontal="center" vertical="center"/>
    </xf>
    <xf numFmtId="0" fontId="0" fillId="10" borderId="0" xfId="0" applyFill="1"/>
    <xf numFmtId="0" fontId="9" fillId="10" borderId="0" xfId="3" applyFill="1" applyAlignment="1">
      <alignment vertical="top"/>
    </xf>
    <xf numFmtId="0" fontId="0" fillId="10" borderId="0" xfId="0" applyFill="1" applyAlignment="1">
      <alignment vertical="top"/>
    </xf>
    <xf numFmtId="0" fontId="13" fillId="10" borderId="0" xfId="0" applyFont="1" applyFill="1"/>
    <xf numFmtId="0" fontId="0" fillId="0" borderId="0" xfId="0" applyFill="1"/>
    <xf numFmtId="0" fontId="0" fillId="0" borderId="0" xfId="0" applyAlignment="1">
      <alignment vertical="center"/>
    </xf>
    <xf numFmtId="0" fontId="0" fillId="0" borderId="0" xfId="0" applyAlignment="1">
      <alignment horizontal="center"/>
    </xf>
    <xf numFmtId="0" fontId="0" fillId="7" borderId="0" xfId="0" applyFill="1"/>
    <xf numFmtId="0" fontId="3" fillId="0" borderId="0" xfId="0" applyFont="1" applyAlignment="1">
      <alignment horizontal="center"/>
    </xf>
    <xf numFmtId="0" fontId="0" fillId="0" borderId="0" xfId="0" applyBorder="1"/>
    <xf numFmtId="0" fontId="8" fillId="0" borderId="0" xfId="0" applyFont="1"/>
    <xf numFmtId="0" fontId="8" fillId="0" borderId="0" xfId="0" applyFont="1" applyAlignment="1">
      <alignment wrapText="1"/>
    </xf>
    <xf numFmtId="44" fontId="8" fillId="2" borderId="1" xfId="1" applyFont="1" applyFill="1" applyBorder="1" applyAlignment="1">
      <alignment horizontal="center"/>
    </xf>
    <xf numFmtId="44" fontId="8" fillId="0" borderId="0" xfId="1" applyFont="1" applyAlignment="1">
      <alignment horizontal="center"/>
    </xf>
    <xf numFmtId="0" fontId="8" fillId="4" borderId="0" xfId="0" applyFont="1" applyFill="1" applyAlignment="1">
      <alignment wrapText="1"/>
    </xf>
    <xf numFmtId="44" fontId="8" fillId="2" borderId="1" xfId="1" applyFont="1" applyFill="1" applyBorder="1" applyAlignment="1">
      <alignment horizontal="center" wrapText="1"/>
    </xf>
    <xf numFmtId="0" fontId="21" fillId="12" borderId="0" xfId="0" applyFont="1" applyFill="1" applyAlignment="1">
      <alignment wrapText="1"/>
    </xf>
    <xf numFmtId="44" fontId="22" fillId="0" borderId="0" xfId="1" applyFont="1" applyAlignment="1">
      <alignment horizontal="center"/>
    </xf>
    <xf numFmtId="0" fontId="22" fillId="0" borderId="0" xfId="0" applyFont="1" applyAlignment="1">
      <alignment wrapText="1"/>
    </xf>
    <xf numFmtId="0" fontId="23" fillId="12" borderId="0" xfId="0" applyFont="1" applyFill="1" applyAlignment="1">
      <alignment wrapText="1"/>
    </xf>
    <xf numFmtId="44" fontId="24" fillId="6" borderId="0" xfId="1" applyFont="1" applyFill="1" applyBorder="1" applyAlignment="1">
      <alignment horizontal="center" wrapText="1"/>
    </xf>
    <xf numFmtId="0" fontId="8" fillId="0" borderId="0" xfId="0" applyFont="1" applyAlignment="1">
      <alignment horizontal="center"/>
    </xf>
    <xf numFmtId="0" fontId="21" fillId="12" borderId="0" xfId="0" applyFont="1" applyFill="1" applyAlignment="1">
      <alignment horizontal="center"/>
    </xf>
    <xf numFmtId="44" fontId="21" fillId="12" borderId="0" xfId="1" applyFont="1" applyFill="1" applyAlignment="1">
      <alignment horizontal="center"/>
    </xf>
    <xf numFmtId="0" fontId="8" fillId="12" borderId="1" xfId="2" applyFont="1" applyFill="1" applyAlignment="1">
      <alignment wrapText="1"/>
    </xf>
    <xf numFmtId="44" fontId="8" fillId="12" borderId="1" xfId="1" applyFont="1" applyFill="1" applyBorder="1" applyAlignment="1">
      <alignment horizontal="center"/>
    </xf>
    <xf numFmtId="0" fontId="8" fillId="12" borderId="21" xfId="0" applyFont="1" applyFill="1" applyBorder="1" applyAlignment="1">
      <alignment wrapText="1"/>
    </xf>
    <xf numFmtId="44" fontId="8" fillId="9" borderId="1" xfId="1" applyFont="1" applyFill="1" applyBorder="1" applyAlignment="1">
      <alignment horizontal="center"/>
    </xf>
    <xf numFmtId="44" fontId="8" fillId="9" borderId="1" xfId="1" applyFont="1" applyFill="1" applyBorder="1" applyAlignment="1">
      <alignment horizontal="center" wrapText="1"/>
    </xf>
    <xf numFmtId="0" fontId="25" fillId="0" borderId="23"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12" borderId="3" xfId="0" applyFont="1" applyFill="1" applyBorder="1" applyAlignment="1">
      <alignment horizontal="center" vertical="center" wrapText="1"/>
    </xf>
    <xf numFmtId="0" fontId="3" fillId="15" borderId="0" xfId="0" applyFont="1" applyFill="1" applyBorder="1" applyAlignment="1">
      <alignment horizontal="center" vertical="center" wrapText="1"/>
    </xf>
    <xf numFmtId="0" fontId="3" fillId="14" borderId="0" xfId="0" applyFont="1" applyFill="1" applyBorder="1" applyAlignment="1">
      <alignment horizontal="center" vertical="center" wrapText="1"/>
    </xf>
    <xf numFmtId="0" fontId="17" fillId="0" borderId="0" xfId="0" applyFont="1" applyFill="1" applyAlignment="1">
      <alignment horizontal="center" wrapText="1"/>
    </xf>
    <xf numFmtId="0" fontId="0" fillId="0" borderId="0" xfId="0" applyFont="1" applyFill="1"/>
    <xf numFmtId="0" fontId="17" fillId="0" borderId="23" xfId="0" applyFont="1" applyFill="1" applyBorder="1" applyAlignment="1">
      <alignment vertical="center" wrapText="1"/>
    </xf>
    <xf numFmtId="0" fontId="26" fillId="0" borderId="23" xfId="0" applyFont="1" applyFill="1" applyBorder="1" applyAlignment="1">
      <alignment vertical="center" wrapText="1"/>
    </xf>
    <xf numFmtId="44" fontId="27" fillId="15" borderId="3" xfId="1" applyFont="1" applyFill="1" applyBorder="1"/>
    <xf numFmtId="44" fontId="27" fillId="14" borderId="3" xfId="1" applyFont="1" applyFill="1" applyBorder="1"/>
    <xf numFmtId="0" fontId="12" fillId="0" borderId="0" xfId="0" applyFont="1" applyFill="1" applyAlignment="1">
      <alignment horizontal="center"/>
    </xf>
    <xf numFmtId="0" fontId="17" fillId="5" borderId="23" xfId="0" applyFont="1" applyFill="1" applyBorder="1" applyAlignment="1">
      <alignment vertical="center" wrapText="1"/>
    </xf>
    <xf numFmtId="0" fontId="26" fillId="5" borderId="23" xfId="0" applyFont="1" applyFill="1" applyBorder="1" applyAlignment="1">
      <alignment vertical="center" wrapText="1"/>
    </xf>
    <xf numFmtId="0" fontId="17" fillId="10" borderId="23" xfId="0" applyFont="1" applyFill="1" applyBorder="1" applyAlignment="1">
      <alignment vertical="center" wrapText="1"/>
    </xf>
    <xf numFmtId="0" fontId="26" fillId="10" borderId="24" xfId="0" applyFont="1" applyFill="1" applyBorder="1" applyAlignment="1">
      <alignment vertical="center" wrapText="1"/>
    </xf>
    <xf numFmtId="44" fontId="27" fillId="12" borderId="4" xfId="1" applyFont="1" applyFill="1" applyBorder="1"/>
    <xf numFmtId="44" fontId="27" fillId="12" borderId="3" xfId="1" applyFont="1" applyFill="1" applyBorder="1"/>
    <xf numFmtId="0" fontId="17" fillId="4" borderId="23" xfId="0" applyFont="1" applyFill="1" applyBorder="1" applyAlignment="1">
      <alignment vertical="center" wrapText="1"/>
    </xf>
    <xf numFmtId="0" fontId="26" fillId="4" borderId="23" xfId="0" applyFont="1" applyFill="1" applyBorder="1" applyAlignment="1">
      <alignment vertical="center" wrapText="1"/>
    </xf>
    <xf numFmtId="0" fontId="14" fillId="18" borderId="23" xfId="0" applyFont="1" applyFill="1" applyBorder="1" applyAlignment="1">
      <alignment vertical="center"/>
    </xf>
    <xf numFmtId="0" fontId="26" fillId="18" borderId="23" xfId="0" applyFont="1" applyFill="1" applyBorder="1" applyAlignment="1">
      <alignment vertical="center"/>
    </xf>
    <xf numFmtId="44" fontId="27" fillId="18" borderId="3" xfId="1" applyFont="1" applyFill="1" applyBorder="1" applyAlignment="1"/>
    <xf numFmtId="0" fontId="17" fillId="18" borderId="23" xfId="0" applyFont="1" applyFill="1" applyBorder="1" applyAlignment="1">
      <alignment vertical="center" wrapText="1"/>
    </xf>
    <xf numFmtId="0" fontId="26" fillId="18" borderId="23" xfId="0" applyFont="1" applyFill="1" applyBorder="1" applyAlignment="1">
      <alignment vertical="center" wrapText="1"/>
    </xf>
    <xf numFmtId="44" fontId="27" fillId="18" borderId="3" xfId="1" applyFont="1" applyFill="1" applyBorder="1"/>
    <xf numFmtId="0" fontId="17" fillId="0" borderId="0" xfId="0" applyFont="1" applyFill="1"/>
    <xf numFmtId="14" fontId="27" fillId="12" borderId="0" xfId="0" applyNumberFormat="1" applyFont="1" applyFill="1" applyBorder="1" applyAlignment="1">
      <alignment horizontal="right" vertical="center" wrapText="1"/>
    </xf>
    <xf numFmtId="44" fontId="27" fillId="12" borderId="3" xfId="1" applyFont="1" applyFill="1" applyBorder="1" applyAlignment="1">
      <alignment horizontal="right" vertical="center" wrapText="1"/>
    </xf>
    <xf numFmtId="44" fontId="27" fillId="12" borderId="4" xfId="1" applyFont="1" applyFill="1" applyBorder="1" applyAlignment="1"/>
    <xf numFmtId="0" fontId="3" fillId="15" borderId="15" xfId="0" applyFont="1" applyFill="1" applyBorder="1" applyAlignment="1">
      <alignment horizontal="center" vertical="center" wrapText="1"/>
    </xf>
    <xf numFmtId="0" fontId="3" fillId="14" borderId="15" xfId="0" applyFont="1" applyFill="1" applyBorder="1" applyAlignment="1">
      <alignment horizontal="center" vertical="center" wrapText="1"/>
    </xf>
    <xf numFmtId="0" fontId="29" fillId="0" borderId="0" xfId="0" applyFont="1"/>
    <xf numFmtId="44" fontId="0" fillId="0" borderId="0" xfId="1" applyFont="1"/>
    <xf numFmtId="0" fontId="0" fillId="0" borderId="0" xfId="0" applyAlignment="1">
      <alignment wrapText="1"/>
    </xf>
    <xf numFmtId="44" fontId="0" fillId="0" borderId="0" xfId="0" applyNumberFormat="1"/>
    <xf numFmtId="44" fontId="0" fillId="12" borderId="0" xfId="1" applyFont="1" applyFill="1"/>
    <xf numFmtId="44" fontId="0" fillId="7" borderId="0" xfId="1" applyFont="1" applyFill="1"/>
    <xf numFmtId="0" fontId="0" fillId="0" borderId="0" xfId="0" applyAlignment="1">
      <alignment horizontal="center" wrapText="1"/>
    </xf>
    <xf numFmtId="0" fontId="0" fillId="0" borderId="0" xfId="0" applyAlignment="1">
      <alignment horizontal="center" vertical="center" wrapText="1"/>
    </xf>
    <xf numFmtId="0" fontId="0" fillId="11" borderId="0" xfId="0" applyFill="1"/>
    <xf numFmtId="0" fontId="0" fillId="11" borderId="0" xfId="0" applyFill="1" applyAlignment="1">
      <alignment wrapText="1"/>
    </xf>
    <xf numFmtId="0" fontId="0" fillId="11" borderId="0" xfId="0" applyFill="1" applyAlignment="1">
      <alignment horizontal="center" vertical="center"/>
    </xf>
    <xf numFmtId="0" fontId="3" fillId="0" borderId="0" xfId="0" applyFont="1" applyAlignment="1">
      <alignment horizontal="center" vertical="center" wrapText="1"/>
    </xf>
    <xf numFmtId="44" fontId="0" fillId="0" borderId="0" xfId="1" applyFont="1" applyAlignment="1">
      <alignment horizontal="center" vertical="center"/>
    </xf>
    <xf numFmtId="0" fontId="0" fillId="0" borderId="25" xfId="0" applyBorder="1" applyAlignment="1">
      <alignment horizontal="center"/>
    </xf>
    <xf numFmtId="0" fontId="3" fillId="0" borderId="0" xfId="0" applyFont="1" applyFill="1" applyAlignment="1">
      <alignment horizontal="center" wrapText="1"/>
    </xf>
    <xf numFmtId="0" fontId="0" fillId="0" borderId="16" xfId="0" applyBorder="1" applyAlignment="1">
      <alignment horizontal="center"/>
    </xf>
    <xf numFmtId="0" fontId="0" fillId="0" borderId="0" xfId="0" applyFill="1" applyAlignment="1">
      <alignment wrapText="1"/>
    </xf>
    <xf numFmtId="0" fontId="0" fillId="0" borderId="0" xfId="0" applyFill="1" applyAlignment="1">
      <alignment horizontal="center" vertical="center"/>
    </xf>
    <xf numFmtId="44" fontId="0" fillId="0" borderId="0" xfId="1" applyFont="1" applyFill="1"/>
    <xf numFmtId="0" fontId="0" fillId="0" borderId="0" xfId="0" applyAlignment="1">
      <alignment horizontal="center"/>
    </xf>
    <xf numFmtId="0" fontId="0" fillId="10" borderId="0" xfId="0" applyFill="1" applyAlignment="1">
      <alignment horizontal="center" vertical="center"/>
    </xf>
    <xf numFmtId="0" fontId="0" fillId="10" borderId="0" xfId="0" applyFill="1" applyAlignment="1">
      <alignment horizontal="center" vertical="center" wrapText="1"/>
    </xf>
    <xf numFmtId="0" fontId="0" fillId="10" borderId="31" xfId="0" applyFill="1" applyBorder="1" applyAlignment="1">
      <alignment horizontal="center" vertical="center" wrapText="1"/>
    </xf>
    <xf numFmtId="44" fontId="0" fillId="10" borderId="0" xfId="1" applyFont="1" applyFill="1"/>
    <xf numFmtId="0" fontId="35" fillId="8" borderId="5" xfId="0" applyFont="1" applyFill="1" applyBorder="1" applyAlignment="1">
      <alignment horizontal="center"/>
    </xf>
    <xf numFmtId="0" fontId="35" fillId="8" borderId="5" xfId="0" applyFont="1" applyFill="1" applyBorder="1" applyAlignment="1">
      <alignment horizontal="center" wrapText="1"/>
    </xf>
    <xf numFmtId="0" fontId="36" fillId="10" borderId="0" xfId="0" applyFont="1" applyFill="1" applyAlignment="1">
      <alignment horizontal="left"/>
    </xf>
    <xf numFmtId="0" fontId="36" fillId="10" borderId="0" xfId="0" applyFont="1" applyFill="1"/>
    <xf numFmtId="0" fontId="0" fillId="11" borderId="3" xfId="0" applyFill="1" applyBorder="1" applyAlignment="1">
      <alignment horizontal="center" vertical="center"/>
    </xf>
    <xf numFmtId="0" fontId="8" fillId="7" borderId="1" xfId="2" applyFont="1" applyFill="1" applyAlignment="1">
      <alignment wrapText="1"/>
    </xf>
    <xf numFmtId="0" fontId="8" fillId="7" borderId="1" xfId="2" applyFont="1" applyFill="1" applyAlignment="1"/>
    <xf numFmtId="0" fontId="8" fillId="7" borderId="0" xfId="0" applyFont="1" applyFill="1" applyAlignment="1">
      <alignment wrapText="1"/>
    </xf>
    <xf numFmtId="0" fontId="8" fillId="7" borderId="20" xfId="0" applyFont="1" applyFill="1" applyBorder="1" applyAlignment="1">
      <alignment wrapText="1"/>
    </xf>
    <xf numFmtId="0" fontId="8" fillId="7" borderId="21" xfId="0" applyFont="1" applyFill="1" applyBorder="1" applyAlignment="1">
      <alignment wrapText="1"/>
    </xf>
    <xf numFmtId="0" fontId="19" fillId="7" borderId="21" xfId="0" applyFont="1" applyFill="1" applyBorder="1" applyAlignment="1">
      <alignment wrapText="1"/>
    </xf>
    <xf numFmtId="0" fontId="19" fillId="7" borderId="20" xfId="0" applyFont="1" applyFill="1" applyBorder="1" applyAlignment="1">
      <alignment wrapText="1"/>
    </xf>
    <xf numFmtId="44" fontId="19" fillId="8" borderId="33" xfId="1" applyFont="1" applyFill="1" applyBorder="1" applyAlignment="1">
      <alignment horizontal="center"/>
    </xf>
    <xf numFmtId="0" fontId="8" fillId="10" borderId="0" xfId="0" applyFont="1" applyFill="1" applyAlignment="1">
      <alignment wrapText="1"/>
    </xf>
    <xf numFmtId="0" fontId="8" fillId="10" borderId="0" xfId="0" applyFont="1" applyFill="1" applyAlignment="1">
      <alignment horizontal="center"/>
    </xf>
    <xf numFmtId="44" fontId="8" fillId="10" borderId="0" xfId="1" applyFont="1" applyFill="1" applyAlignment="1">
      <alignment horizontal="center"/>
    </xf>
    <xf numFmtId="0" fontId="8" fillId="10" borderId="5" xfId="0" applyFont="1" applyFill="1" applyBorder="1" applyAlignment="1">
      <alignment wrapText="1"/>
    </xf>
    <xf numFmtId="0" fontId="10" fillId="8" borderId="33" xfId="2" applyFont="1" applyFill="1" applyBorder="1" applyAlignment="1">
      <alignment horizontal="center" wrapText="1"/>
    </xf>
    <xf numFmtId="0" fontId="10" fillId="8" borderId="32" xfId="0" applyFont="1" applyFill="1" applyBorder="1" applyAlignment="1">
      <alignment horizontal="center" wrapText="1"/>
    </xf>
    <xf numFmtId="0" fontId="3" fillId="17" borderId="3" xfId="0" applyFont="1" applyFill="1" applyBorder="1" applyAlignment="1">
      <alignment horizontal="center"/>
    </xf>
    <xf numFmtId="0" fontId="0" fillId="0" borderId="15" xfId="0" applyBorder="1" applyAlignment="1">
      <alignment horizontal="center"/>
    </xf>
    <xf numFmtId="0" fontId="0" fillId="0" borderId="12" xfId="0" applyBorder="1" applyAlignment="1">
      <alignment horizontal="center"/>
    </xf>
    <xf numFmtId="44" fontId="3" fillId="0" borderId="0" xfId="0" applyNumberFormat="1" applyFont="1"/>
    <xf numFmtId="2" fontId="0" fillId="0" borderId="0" xfId="0" applyNumberFormat="1"/>
    <xf numFmtId="0" fontId="0" fillId="0" borderId="7" xfId="0" applyBorder="1"/>
    <xf numFmtId="2" fontId="0" fillId="0" borderId="7" xfId="0" applyNumberFormat="1" applyBorder="1"/>
    <xf numFmtId="0" fontId="0" fillId="0" borderId="7" xfId="0" applyBorder="1" applyAlignment="1">
      <alignment horizontal="center"/>
    </xf>
    <xf numFmtId="2" fontId="0" fillId="0" borderId="7" xfId="0" applyNumberFormat="1" applyBorder="1" applyAlignment="1">
      <alignment horizontal="center"/>
    </xf>
    <xf numFmtId="2" fontId="0" fillId="0" borderId="0" xfId="0" applyNumberFormat="1" applyAlignment="1">
      <alignment horizontal="center"/>
    </xf>
    <xf numFmtId="2" fontId="0" fillId="0" borderId="9" xfId="0" applyNumberFormat="1" applyBorder="1"/>
    <xf numFmtId="2" fontId="0" fillId="0" borderId="13" xfId="0" applyNumberFormat="1" applyBorder="1" applyAlignment="1">
      <alignment horizontal="center"/>
    </xf>
    <xf numFmtId="2" fontId="0" fillId="0" borderId="9" xfId="0" applyNumberFormat="1" applyBorder="1" applyAlignment="1">
      <alignment horizontal="center"/>
    </xf>
    <xf numFmtId="2" fontId="0" fillId="0" borderId="14" xfId="0" applyNumberFormat="1" applyBorder="1" applyAlignment="1">
      <alignment horizontal="center"/>
    </xf>
    <xf numFmtId="2" fontId="3" fillId="0" borderId="0" xfId="0" applyNumberFormat="1" applyFont="1" applyAlignment="1">
      <alignment horizontal="center"/>
    </xf>
    <xf numFmtId="0" fontId="17" fillId="7" borderId="37" xfId="0" applyFont="1" applyFill="1" applyBorder="1" applyAlignment="1">
      <alignment vertical="center" wrapText="1"/>
    </xf>
    <xf numFmtId="2" fontId="0" fillId="0" borderId="13" xfId="0" applyNumberFormat="1" applyBorder="1"/>
    <xf numFmtId="0" fontId="25" fillId="8" borderId="13" xfId="0" applyFont="1" applyFill="1" applyBorder="1" applyAlignment="1">
      <alignment horizontal="center"/>
    </xf>
    <xf numFmtId="0" fontId="25" fillId="8" borderId="9" xfId="0" applyFont="1" applyFill="1" applyBorder="1" applyAlignment="1">
      <alignment horizontal="center"/>
    </xf>
    <xf numFmtId="0" fontId="3" fillId="8" borderId="3" xfId="0" applyFont="1" applyFill="1" applyBorder="1" applyAlignment="1">
      <alignment horizontal="center"/>
    </xf>
    <xf numFmtId="0" fontId="25" fillId="20" borderId="7" xfId="0" applyFont="1" applyFill="1" applyBorder="1" applyAlignment="1">
      <alignment horizontal="center" wrapText="1"/>
    </xf>
    <xf numFmtId="0" fontId="25" fillId="20" borderId="0" xfId="0" applyFont="1" applyFill="1" applyAlignment="1">
      <alignment horizontal="center" wrapText="1"/>
    </xf>
    <xf numFmtId="0" fontId="25" fillId="8" borderId="15" xfId="0" applyFont="1" applyFill="1" applyBorder="1" applyAlignment="1">
      <alignment horizontal="center"/>
    </xf>
    <xf numFmtId="2" fontId="0" fillId="8" borderId="25" xfId="0" applyNumberFormat="1" applyFill="1" applyBorder="1" applyAlignment="1">
      <alignment horizontal="center"/>
    </xf>
    <xf numFmtId="2" fontId="0" fillId="8" borderId="15" xfId="0" applyNumberFormat="1" applyFill="1" applyBorder="1" applyAlignment="1">
      <alignment horizontal="center"/>
    </xf>
    <xf numFmtId="2" fontId="3" fillId="8" borderId="25" xfId="0" applyNumberFormat="1" applyFont="1" applyFill="1" applyBorder="1" applyAlignment="1">
      <alignment horizontal="center"/>
    </xf>
    <xf numFmtId="2" fontId="3" fillId="8" borderId="15" xfId="0" applyNumberFormat="1" applyFont="1" applyFill="1" applyBorder="1" applyAlignment="1">
      <alignment horizontal="center"/>
    </xf>
    <xf numFmtId="0" fontId="25" fillId="13" borderId="13" xfId="0" applyFont="1" applyFill="1" applyBorder="1" applyAlignment="1">
      <alignment horizontal="center" wrapText="1"/>
    </xf>
    <xf numFmtId="0" fontId="33" fillId="8" borderId="33" xfId="2" applyFont="1" applyFill="1" applyBorder="1" applyAlignment="1">
      <alignment horizontal="center" wrapText="1"/>
    </xf>
    <xf numFmtId="0" fontId="3" fillId="7" borderId="3" xfId="0" applyFont="1" applyFill="1" applyBorder="1" applyAlignment="1">
      <alignment horizontal="center" wrapText="1"/>
    </xf>
    <xf numFmtId="0" fontId="0" fillId="0" borderId="0" xfId="0" applyAlignment="1">
      <alignment horizontal="center"/>
    </xf>
    <xf numFmtId="0" fontId="0" fillId="10" borderId="0" xfId="0" applyFill="1" applyAlignment="1">
      <alignment horizontal="center"/>
    </xf>
    <xf numFmtId="0" fontId="0" fillId="10" borderId="0" xfId="0" applyFill="1" applyAlignment="1">
      <alignment wrapText="1"/>
    </xf>
    <xf numFmtId="0" fontId="0" fillId="21" borderId="0" xfId="0" applyFill="1"/>
    <xf numFmtId="0" fontId="0" fillId="0" borderId="10" xfId="0" applyBorder="1"/>
    <xf numFmtId="0" fontId="0" fillId="0" borderId="8" xfId="0" applyBorder="1" applyAlignment="1">
      <alignment horizontal="center"/>
    </xf>
    <xf numFmtId="0" fontId="0" fillId="0" borderId="0" xfId="0" applyBorder="1" applyAlignment="1">
      <alignment horizontal="center"/>
    </xf>
    <xf numFmtId="0" fontId="0" fillId="0" borderId="13" xfId="0" applyBorder="1"/>
    <xf numFmtId="0" fontId="0" fillId="0" borderId="9" xfId="0" applyBorder="1" applyAlignment="1">
      <alignment horizontal="center"/>
    </xf>
    <xf numFmtId="0" fontId="0" fillId="0" borderId="14" xfId="0" applyBorder="1" applyAlignment="1">
      <alignment horizontal="center"/>
    </xf>
    <xf numFmtId="0" fontId="0" fillId="0" borderId="12" xfId="0" applyBorder="1"/>
    <xf numFmtId="0" fontId="3" fillId="0" borderId="0" xfId="0" applyFont="1" applyAlignment="1">
      <alignment vertical="center" wrapText="1"/>
    </xf>
    <xf numFmtId="44" fontId="3" fillId="0" borderId="0" xfId="0" applyNumberFormat="1" applyFont="1" applyAlignment="1">
      <alignment vertical="center"/>
    </xf>
    <xf numFmtId="0" fontId="0" fillId="0" borderId="0" xfId="0" applyFont="1" applyAlignment="1">
      <alignment horizontal="center" vertical="center"/>
    </xf>
    <xf numFmtId="0" fontId="0" fillId="0" borderId="0" xfId="0" applyFont="1" applyAlignment="1">
      <alignment vertical="center"/>
    </xf>
    <xf numFmtId="0" fontId="3" fillId="0" borderId="9" xfId="0" applyFont="1" applyBorder="1" applyAlignment="1">
      <alignment vertical="center" wrapText="1"/>
    </xf>
    <xf numFmtId="0" fontId="3" fillId="0" borderId="9" xfId="0" applyFont="1" applyBorder="1" applyAlignment="1">
      <alignment horizontal="center" vertical="center"/>
    </xf>
    <xf numFmtId="44" fontId="0" fillId="0" borderId="0" xfId="0" applyNumberFormat="1" applyFont="1" applyAlignment="1">
      <alignment vertical="center"/>
    </xf>
    <xf numFmtId="44" fontId="0" fillId="0" borderId="0" xfId="0" applyNumberFormat="1" applyAlignment="1">
      <alignment vertical="center"/>
    </xf>
    <xf numFmtId="44" fontId="0" fillId="0" borderId="12" xfId="0" applyNumberFormat="1" applyBorder="1"/>
    <xf numFmtId="44" fontId="0" fillId="0" borderId="42" xfId="0" applyNumberFormat="1" applyBorder="1"/>
    <xf numFmtId="44" fontId="0" fillId="0" borderId="43" xfId="0" applyNumberFormat="1" applyBorder="1"/>
    <xf numFmtId="0" fontId="0" fillId="0" borderId="8" xfId="0" applyBorder="1"/>
    <xf numFmtId="0" fontId="0" fillId="21" borderId="0" xfId="0" applyFill="1" applyBorder="1"/>
    <xf numFmtId="0" fontId="0" fillId="22" borderId="0" xfId="0" applyFill="1"/>
    <xf numFmtId="0" fontId="3" fillId="0" borderId="0" xfId="0" applyFont="1" applyAlignment="1">
      <alignment horizontal="right" vertical="center" wrapText="1"/>
    </xf>
    <xf numFmtId="0" fontId="0" fillId="0" borderId="0" xfId="0" applyAlignment="1">
      <alignment horizontal="center"/>
    </xf>
    <xf numFmtId="0" fontId="0" fillId="8" borderId="3" xfId="0" applyFill="1" applyBorder="1" applyAlignment="1" applyProtection="1">
      <alignment horizontal="center" vertical="center"/>
    </xf>
    <xf numFmtId="0" fontId="8" fillId="0" borderId="1" xfId="2" applyFont="1" applyFill="1" applyAlignment="1" applyProtection="1">
      <alignment horizontal="center"/>
      <protection locked="0"/>
    </xf>
    <xf numFmtId="0" fontId="8" fillId="0" borderId="1" xfId="2" applyFont="1" applyFill="1" applyAlignment="1" applyProtection="1">
      <alignment horizontal="center" wrapText="1"/>
      <protection locked="0"/>
    </xf>
    <xf numFmtId="0" fontId="0" fillId="0" borderId="16" xfId="0" applyBorder="1" applyAlignment="1" applyProtection="1">
      <alignment horizontal="center"/>
      <protection locked="0"/>
    </xf>
    <xf numFmtId="0" fontId="0" fillId="0" borderId="25" xfId="0" applyBorder="1" applyAlignment="1" applyProtection="1">
      <alignment horizontal="center"/>
      <protection locked="0"/>
    </xf>
    <xf numFmtId="0" fontId="0" fillId="0" borderId="28" xfId="0" applyBorder="1" applyAlignment="1" applyProtection="1">
      <alignment horizontal="center"/>
      <protection locked="0"/>
    </xf>
    <xf numFmtId="0" fontId="0" fillId="0" borderId="16" xfId="0" applyFill="1" applyBorder="1" applyAlignment="1" applyProtection="1">
      <alignment horizontal="center"/>
      <protection locked="0"/>
    </xf>
    <xf numFmtId="0" fontId="0" fillId="0" borderId="25" xfId="0" applyFill="1" applyBorder="1" applyAlignment="1" applyProtection="1">
      <alignment horizontal="center"/>
      <protection locked="0"/>
    </xf>
    <xf numFmtId="0" fontId="0" fillId="0" borderId="28" xfId="0" applyFill="1" applyBorder="1" applyAlignment="1" applyProtection="1">
      <alignment horizontal="center"/>
      <protection locked="0"/>
    </xf>
    <xf numFmtId="0" fontId="0" fillId="0" borderId="15" xfId="0" applyBorder="1" applyAlignment="1" applyProtection="1">
      <alignment horizontal="center"/>
      <protection locked="0"/>
    </xf>
    <xf numFmtId="0" fontId="3" fillId="10" borderId="0" xfId="0" applyFont="1" applyFill="1"/>
    <xf numFmtId="0" fontId="3" fillId="10" borderId="0" xfId="0" quotePrefix="1" applyFont="1" applyFill="1"/>
    <xf numFmtId="164" fontId="0" fillId="7" borderId="3" xfId="0" applyNumberFormat="1" applyFill="1" applyBorder="1" applyAlignment="1" applyProtection="1">
      <alignment horizontal="center" vertical="center"/>
      <protection locked="0"/>
    </xf>
    <xf numFmtId="0" fontId="0" fillId="7" borderId="0" xfId="0" applyFill="1" applyBorder="1" applyAlignment="1">
      <alignment horizontal="center" vertical="center"/>
    </xf>
    <xf numFmtId="0" fontId="0" fillId="7" borderId="8" xfId="0" applyFill="1" applyBorder="1" applyAlignment="1">
      <alignment horizontal="center" vertical="center"/>
    </xf>
    <xf numFmtId="164" fontId="0" fillId="7" borderId="0" xfId="0" applyNumberFormat="1" applyFill="1" applyBorder="1" applyAlignment="1">
      <alignment horizontal="center" vertical="center"/>
    </xf>
    <xf numFmtId="164" fontId="0" fillId="7" borderId="12" xfId="0" applyNumberFormat="1" applyFill="1" applyBorder="1" applyAlignment="1">
      <alignment horizontal="center" vertical="center"/>
    </xf>
    <xf numFmtId="0" fontId="5" fillId="7" borderId="8" xfId="0" applyFont="1" applyFill="1" applyBorder="1" applyAlignment="1">
      <alignment vertical="center"/>
    </xf>
    <xf numFmtId="0" fontId="0" fillId="7" borderId="8" xfId="0" applyFill="1" applyBorder="1"/>
    <xf numFmtId="0" fontId="0" fillId="7" borderId="11" xfId="0" applyFill="1" applyBorder="1"/>
    <xf numFmtId="0" fontId="5" fillId="7" borderId="0" xfId="0" applyFont="1" applyFill="1" applyBorder="1"/>
    <xf numFmtId="0" fontId="5" fillId="7" borderId="0" xfId="0" applyFont="1" applyFill="1" applyBorder="1" applyAlignment="1">
      <alignment vertical="center"/>
    </xf>
    <xf numFmtId="0" fontId="0" fillId="7" borderId="0" xfId="0" applyFill="1" applyBorder="1"/>
    <xf numFmtId="0" fontId="0" fillId="7" borderId="12" xfId="0" applyFill="1" applyBorder="1"/>
    <xf numFmtId="0" fontId="5" fillId="7" borderId="0" xfId="0" applyFont="1" applyFill="1" applyBorder="1" applyAlignment="1" applyProtection="1">
      <alignment vertical="top"/>
    </xf>
    <xf numFmtId="0" fontId="0" fillId="7" borderId="0" xfId="0" applyFill="1" applyBorder="1" applyAlignment="1" applyProtection="1">
      <alignment vertical="top"/>
    </xf>
    <xf numFmtId="0" fontId="5" fillId="7" borderId="9" xfId="0" applyFont="1" applyFill="1" applyBorder="1"/>
    <xf numFmtId="0" fontId="0" fillId="7" borderId="9" xfId="0" applyFill="1" applyBorder="1" applyAlignment="1" applyProtection="1">
      <alignment vertical="top"/>
      <protection locked="0"/>
    </xf>
    <xf numFmtId="0" fontId="0" fillId="7" borderId="3" xfId="0" applyFill="1" applyBorder="1" applyAlignment="1" applyProtection="1">
      <alignment horizontal="center" vertical="center"/>
      <protection locked="0"/>
    </xf>
    <xf numFmtId="0" fontId="0" fillId="7" borderId="3" xfId="0" applyFill="1" applyBorder="1" applyAlignment="1" applyProtection="1">
      <alignment horizontal="center" vertical="center" wrapText="1"/>
      <protection locked="0"/>
    </xf>
    <xf numFmtId="0" fontId="44" fillId="10" borderId="0" xfId="0" quotePrefix="1" applyFont="1" applyFill="1"/>
    <xf numFmtId="0" fontId="44" fillId="10" borderId="0" xfId="0" applyFont="1" applyFill="1"/>
    <xf numFmtId="0" fontId="29" fillId="10" borderId="0" xfId="0" applyFont="1" applyFill="1"/>
    <xf numFmtId="0" fontId="0" fillId="7" borderId="0" xfId="0" applyFill="1" applyBorder="1" applyAlignment="1">
      <alignment horizontal="left" vertical="center"/>
    </xf>
    <xf numFmtId="0" fontId="0" fillId="7" borderId="13" xfId="0" applyFill="1" applyBorder="1"/>
    <xf numFmtId="0" fontId="0" fillId="0" borderId="0" xfId="0" applyAlignment="1">
      <alignment horizontal="left"/>
    </xf>
    <xf numFmtId="0" fontId="3" fillId="0" borderId="0" xfId="0" applyFont="1" applyBorder="1" applyAlignment="1">
      <alignment horizontal="center" vertical="center"/>
    </xf>
    <xf numFmtId="0" fontId="0" fillId="0" borderId="0" xfId="0" applyAlignment="1">
      <alignment horizontal="center"/>
    </xf>
    <xf numFmtId="0" fontId="0" fillId="0" borderId="0" xfId="0" quotePrefix="1"/>
    <xf numFmtId="0" fontId="3" fillId="7" borderId="4" xfId="0" applyFont="1" applyFill="1" applyBorder="1" applyAlignment="1" applyProtection="1">
      <alignment horizontal="center" vertical="center"/>
      <protection locked="0"/>
    </xf>
    <xf numFmtId="0" fontId="45" fillId="13" borderId="4" xfId="0" applyFont="1" applyFill="1" applyBorder="1" applyAlignment="1">
      <alignment horizontal="center" wrapText="1"/>
    </xf>
    <xf numFmtId="0" fontId="0" fillId="0" borderId="10" xfId="0" applyBorder="1" applyAlignment="1" applyProtection="1">
      <alignment horizontal="center" wrapText="1"/>
      <protection locked="0"/>
    </xf>
    <xf numFmtId="0" fontId="0" fillId="0" borderId="7" xfId="0" applyBorder="1" applyAlignment="1" applyProtection="1">
      <alignment horizontal="center" wrapText="1"/>
      <protection locked="0"/>
    </xf>
    <xf numFmtId="0" fontId="0" fillId="0" borderId="29" xfId="0" applyBorder="1" applyAlignment="1" applyProtection="1">
      <alignment horizontal="center" wrapText="1"/>
      <protection locked="0"/>
    </xf>
    <xf numFmtId="0" fontId="32" fillId="13" borderId="15" xfId="0" applyFont="1" applyFill="1" applyBorder="1" applyAlignment="1">
      <alignment horizontal="center" wrapText="1"/>
    </xf>
    <xf numFmtId="0" fontId="25" fillId="13" borderId="15" xfId="0" applyFont="1" applyFill="1" applyBorder="1" applyAlignment="1">
      <alignment horizontal="center" wrapText="1"/>
    </xf>
    <xf numFmtId="0" fontId="0" fillId="0" borderId="25" xfId="0" applyBorder="1" applyAlignment="1" applyProtection="1">
      <alignment horizontal="center" wrapText="1"/>
      <protection locked="0"/>
    </xf>
    <xf numFmtId="0" fontId="25" fillId="11" borderId="26" xfId="0" applyFont="1" applyFill="1" applyBorder="1" applyAlignment="1">
      <alignment vertical="center"/>
    </xf>
    <xf numFmtId="0" fontId="25" fillId="11" borderId="26" xfId="0" applyFont="1" applyFill="1" applyBorder="1" applyAlignment="1">
      <alignment vertical="center" wrapText="1"/>
    </xf>
    <xf numFmtId="0" fontId="25" fillId="11" borderId="37" xfId="0" applyFont="1" applyFill="1" applyBorder="1" applyAlignment="1">
      <alignment vertical="center" wrapText="1"/>
    </xf>
    <xf numFmtId="0" fontId="17" fillId="7" borderId="26" xfId="0" applyFont="1" applyFill="1" applyBorder="1" applyAlignment="1">
      <alignment vertical="center"/>
    </xf>
    <xf numFmtId="0" fontId="17" fillId="7" borderId="26" xfId="0" applyFont="1" applyFill="1" applyBorder="1" applyAlignment="1">
      <alignment vertical="center" wrapText="1"/>
    </xf>
    <xf numFmtId="0" fontId="17" fillId="13" borderId="26" xfId="0" applyFont="1" applyFill="1" applyBorder="1" applyAlignment="1">
      <alignment vertical="center"/>
    </xf>
    <xf numFmtId="0" fontId="17" fillId="13" borderId="26" xfId="0" applyFont="1" applyFill="1" applyBorder="1" applyAlignment="1">
      <alignment vertical="center" wrapText="1"/>
    </xf>
    <xf numFmtId="0" fontId="17" fillId="13" borderId="37" xfId="0" applyFont="1" applyFill="1" applyBorder="1" applyAlignment="1">
      <alignment vertical="center" wrapText="1"/>
    </xf>
    <xf numFmtId="0" fontId="17" fillId="17" borderId="26" xfId="0" applyFont="1" applyFill="1" applyBorder="1" applyAlignment="1">
      <alignment vertical="center"/>
    </xf>
    <xf numFmtId="0" fontId="17" fillId="17" borderId="26" xfId="0" applyFont="1" applyFill="1" applyBorder="1" applyAlignment="1">
      <alignment vertical="center" wrapText="1"/>
    </xf>
    <xf numFmtId="0" fontId="17" fillId="17" borderId="37" xfId="0" applyFont="1" applyFill="1" applyBorder="1" applyAlignment="1">
      <alignment vertical="center" wrapText="1"/>
    </xf>
    <xf numFmtId="0" fontId="17" fillId="16" borderId="26" xfId="0" applyFont="1" applyFill="1" applyBorder="1" applyAlignment="1">
      <alignment vertical="center"/>
    </xf>
    <xf numFmtId="0" fontId="17" fillId="16" borderId="26" xfId="0" applyFont="1" applyFill="1" applyBorder="1" applyAlignment="1">
      <alignment vertical="center" wrapText="1"/>
    </xf>
    <xf numFmtId="0" fontId="17" fillId="16" borderId="37" xfId="0" applyFont="1" applyFill="1" applyBorder="1" applyAlignment="1">
      <alignment vertical="center" wrapText="1"/>
    </xf>
    <xf numFmtId="0" fontId="0" fillId="0" borderId="0" xfId="0" applyFill="1" applyBorder="1" applyAlignment="1">
      <alignment horizontal="center"/>
    </xf>
    <xf numFmtId="0" fontId="0" fillId="0" borderId="25" xfId="0" applyBorder="1" applyAlignment="1" applyProtection="1">
      <alignment wrapText="1"/>
    </xf>
    <xf numFmtId="0" fontId="0" fillId="0" borderId="10" xfId="0" applyBorder="1" applyAlignment="1" applyProtection="1">
      <alignment horizontal="center" wrapText="1"/>
    </xf>
    <xf numFmtId="0" fontId="0" fillId="0" borderId="25" xfId="0" applyBorder="1" applyAlignment="1" applyProtection="1">
      <alignment horizontal="center" wrapText="1"/>
    </xf>
    <xf numFmtId="0" fontId="0" fillId="0" borderId="7" xfId="0" applyBorder="1" applyAlignment="1" applyProtection="1">
      <alignment horizontal="center" wrapText="1"/>
    </xf>
    <xf numFmtId="0" fontId="0" fillId="0" borderId="28" xfId="0" applyBorder="1" applyAlignment="1" applyProtection="1">
      <alignment horizontal="center" wrapText="1"/>
    </xf>
    <xf numFmtId="0" fontId="0" fillId="10" borderId="0" xfId="0" applyFill="1" applyProtection="1"/>
    <xf numFmtId="0" fontId="3" fillId="10" borderId="0" xfId="0" applyFont="1" applyFill="1" applyAlignment="1" applyProtection="1">
      <alignment horizontal="center" wrapText="1"/>
    </xf>
    <xf numFmtId="0" fontId="0" fillId="10" borderId="36" xfId="0" applyFill="1" applyBorder="1" applyProtection="1"/>
    <xf numFmtId="0" fontId="8" fillId="0" borderId="0" xfId="0" applyFont="1" applyAlignment="1" applyProtection="1">
      <alignment horizontal="center"/>
      <protection locked="0"/>
    </xf>
    <xf numFmtId="0" fontId="25" fillId="13" borderId="4" xfId="0" applyFont="1" applyFill="1" applyBorder="1" applyAlignment="1">
      <alignment horizontal="center" wrapText="1"/>
    </xf>
    <xf numFmtId="1" fontId="0" fillId="7" borderId="6" xfId="0" applyNumberFormat="1" applyFill="1" applyBorder="1" applyAlignment="1" applyProtection="1">
      <alignment horizontal="center" vertical="center"/>
      <protection locked="0"/>
    </xf>
    <xf numFmtId="0" fontId="25" fillId="8" borderId="9" xfId="0" applyFont="1" applyFill="1" applyBorder="1" applyAlignment="1">
      <alignment horizontal="center" wrapText="1"/>
    </xf>
    <xf numFmtId="0" fontId="25" fillId="10" borderId="0" xfId="0" applyFont="1" applyFill="1" applyBorder="1" applyAlignment="1" applyProtection="1">
      <alignment horizontal="center" vertical="center" wrapText="1"/>
    </xf>
    <xf numFmtId="0" fontId="0" fillId="10" borderId="0" xfId="0" applyFill="1" applyBorder="1"/>
    <xf numFmtId="1" fontId="0" fillId="0" borderId="16" xfId="0" applyNumberFormat="1" applyFill="1" applyBorder="1" applyAlignment="1" applyProtection="1">
      <alignment horizontal="center"/>
      <protection locked="0"/>
    </xf>
    <xf numFmtId="1" fontId="0" fillId="0" borderId="11" xfId="0" applyNumberFormat="1" applyBorder="1" applyAlignment="1" applyProtection="1">
      <alignment horizontal="center"/>
      <protection locked="0"/>
    </xf>
    <xf numFmtId="1" fontId="0" fillId="0" borderId="25" xfId="0" applyNumberFormat="1" applyBorder="1" applyAlignment="1" applyProtection="1">
      <alignment horizontal="center"/>
      <protection locked="0"/>
    </xf>
    <xf numFmtId="1" fontId="0" fillId="0" borderId="25" xfId="0" applyNumberFormat="1" applyFill="1" applyBorder="1" applyAlignment="1" applyProtection="1">
      <alignment horizontal="center"/>
      <protection locked="0"/>
    </xf>
    <xf numFmtId="1" fontId="0" fillId="0" borderId="12" xfId="0" applyNumberFormat="1" applyBorder="1" applyAlignment="1" applyProtection="1">
      <alignment horizontal="center"/>
      <protection locked="0"/>
    </xf>
    <xf numFmtId="1" fontId="0" fillId="0" borderId="28" xfId="0" applyNumberFormat="1" applyFill="1" applyBorder="1" applyAlignment="1" applyProtection="1">
      <alignment horizontal="center"/>
      <protection locked="0"/>
    </xf>
    <xf numFmtId="1" fontId="0" fillId="0" borderId="28" xfId="0" applyNumberFormat="1" applyBorder="1" applyAlignment="1" applyProtection="1">
      <alignment horizontal="center"/>
      <protection locked="0"/>
    </xf>
    <xf numFmtId="0" fontId="45" fillId="13" borderId="3" xfId="0" applyFont="1" applyFill="1" applyBorder="1" applyAlignment="1">
      <alignment horizontal="center" vertical="center" wrapText="1"/>
    </xf>
    <xf numFmtId="49" fontId="0" fillId="7" borderId="3" xfId="0" applyNumberFormat="1" applyFill="1" applyBorder="1" applyAlignment="1" applyProtection="1">
      <alignment horizontal="center" vertical="center"/>
      <protection locked="0"/>
    </xf>
    <xf numFmtId="0" fontId="50" fillId="10" borderId="0" xfId="0" applyFont="1" applyFill="1" applyBorder="1" applyAlignment="1" applyProtection="1">
      <alignment horizontal="center"/>
    </xf>
    <xf numFmtId="2" fontId="0" fillId="0" borderId="0" xfId="0" applyNumberFormat="1" applyBorder="1"/>
    <xf numFmtId="2" fontId="0" fillId="0" borderId="12" xfId="0" applyNumberFormat="1" applyBorder="1"/>
    <xf numFmtId="2" fontId="0" fillId="0" borderId="12" xfId="0" applyNumberFormat="1" applyBorder="1" applyAlignment="1">
      <alignment horizontal="center"/>
    </xf>
    <xf numFmtId="2" fontId="0" fillId="0" borderId="0" xfId="0" applyNumberFormat="1" applyBorder="1" applyAlignment="1">
      <alignment horizontal="center"/>
    </xf>
    <xf numFmtId="0" fontId="17" fillId="16" borderId="50" xfId="0" applyFont="1" applyFill="1" applyBorder="1" applyAlignment="1">
      <alignment vertical="center"/>
    </xf>
    <xf numFmtId="0" fontId="17" fillId="16" borderId="50" xfId="0" applyFont="1" applyFill="1" applyBorder="1" applyAlignment="1">
      <alignment vertical="center" wrapText="1"/>
    </xf>
    <xf numFmtId="0" fontId="17" fillId="16" borderId="51" xfId="0" applyFont="1" applyFill="1" applyBorder="1" applyAlignment="1">
      <alignment vertical="center" wrapText="1"/>
    </xf>
    <xf numFmtId="0" fontId="17" fillId="0" borderId="0" xfId="0" applyFont="1" applyFill="1" applyBorder="1" applyAlignment="1">
      <alignment vertical="center"/>
    </xf>
    <xf numFmtId="0" fontId="17" fillId="0" borderId="0" xfId="0" applyFont="1" applyFill="1" applyBorder="1" applyAlignment="1">
      <alignment vertical="center" wrapText="1"/>
    </xf>
    <xf numFmtId="0" fontId="0" fillId="0" borderId="0" xfId="0" applyBorder="1" applyAlignment="1">
      <alignment vertical="center"/>
    </xf>
    <xf numFmtId="0" fontId="50" fillId="0" borderId="0" xfId="0" applyFont="1" applyFill="1" applyBorder="1" applyAlignment="1">
      <alignment vertical="center" wrapText="1"/>
    </xf>
    <xf numFmtId="0" fontId="0" fillId="0" borderId="0" xfId="0" applyBorder="1" applyAlignment="1">
      <alignment vertical="center" wrapText="1"/>
    </xf>
    <xf numFmtId="2" fontId="0" fillId="0" borderId="11" xfId="0" applyNumberFormat="1" applyBorder="1" applyAlignment="1">
      <alignment horizontal="center"/>
    </xf>
    <xf numFmtId="2" fontId="0" fillId="0" borderId="8" xfId="0" applyNumberFormat="1" applyBorder="1"/>
    <xf numFmtId="44" fontId="8" fillId="0" borderId="0" xfId="0" applyNumberFormat="1" applyFont="1"/>
    <xf numFmtId="0" fontId="3" fillId="7" borderId="3" xfId="0" applyFont="1" applyFill="1" applyBorder="1" applyAlignment="1" applyProtection="1">
      <alignment horizontal="center"/>
    </xf>
    <xf numFmtId="0" fontId="3" fillId="7" borderId="15" xfId="0" applyFont="1" applyFill="1" applyBorder="1" applyAlignment="1" applyProtection="1">
      <alignment horizontal="center"/>
    </xf>
    <xf numFmtId="0" fontId="0" fillId="7" borderId="8" xfId="0" applyFill="1" applyBorder="1" applyAlignment="1" applyProtection="1">
      <alignment horizontal="center"/>
    </xf>
    <xf numFmtId="44" fontId="0" fillId="7" borderId="40" xfId="0" applyNumberFormat="1" applyFill="1" applyBorder="1" applyProtection="1"/>
    <xf numFmtId="0" fontId="0" fillId="7" borderId="39" xfId="0" applyFill="1" applyBorder="1" applyAlignment="1" applyProtection="1">
      <alignment horizontal="center"/>
    </xf>
    <xf numFmtId="44" fontId="0" fillId="7" borderId="39" xfId="0" applyNumberFormat="1" applyFill="1" applyBorder="1" applyProtection="1"/>
    <xf numFmtId="0" fontId="0" fillId="7" borderId="9" xfId="0" applyFill="1" applyBorder="1" applyAlignment="1" applyProtection="1">
      <alignment horizontal="center"/>
    </xf>
    <xf numFmtId="44" fontId="0" fillId="7" borderId="41" xfId="0" applyNumberFormat="1" applyFill="1" applyBorder="1" applyProtection="1"/>
    <xf numFmtId="0" fontId="16" fillId="7" borderId="5" xfId="0" applyFont="1" applyFill="1" applyBorder="1" applyAlignment="1" applyProtection="1">
      <protection locked="0"/>
    </xf>
    <xf numFmtId="0" fontId="16" fillId="0" borderId="5" xfId="0" applyFont="1" applyBorder="1" applyAlignment="1" applyProtection="1">
      <protection locked="0"/>
    </xf>
    <xf numFmtId="0" fontId="16" fillId="0" borderId="6" xfId="0" applyFont="1" applyBorder="1" applyAlignment="1" applyProtection="1">
      <protection locked="0"/>
    </xf>
    <xf numFmtId="0" fontId="4" fillId="3" borderId="10" xfId="0" applyFont="1" applyFill="1" applyBorder="1" applyAlignment="1">
      <alignment horizontal="left" wrapText="1"/>
    </xf>
    <xf numFmtId="0" fontId="0" fillId="0" borderId="8" xfId="0" applyBorder="1" applyAlignment="1">
      <alignment horizontal="left" wrapText="1"/>
    </xf>
    <xf numFmtId="0" fontId="0" fillId="0" borderId="11" xfId="0" applyBorder="1" applyAlignment="1">
      <alignment horizontal="left" wrapText="1"/>
    </xf>
    <xf numFmtId="0" fontId="48" fillId="9" borderId="7" xfId="0" applyFont="1" applyFill="1" applyBorder="1" applyAlignment="1">
      <alignment horizontal="left" vertical="top" wrapText="1"/>
    </xf>
    <xf numFmtId="0" fontId="48" fillId="9" borderId="0" xfId="0" applyFont="1" applyFill="1" applyAlignment="1">
      <alignment horizontal="left" vertical="top" wrapText="1"/>
    </xf>
    <xf numFmtId="0" fontId="48" fillId="9" borderId="12" xfId="0" applyFont="1" applyFill="1" applyBorder="1" applyAlignment="1">
      <alignment horizontal="left" vertical="top" wrapText="1"/>
    </xf>
    <xf numFmtId="0" fontId="48" fillId="9" borderId="13" xfId="0" applyFont="1" applyFill="1" applyBorder="1" applyAlignment="1">
      <alignment horizontal="left" vertical="top" wrapText="1"/>
    </xf>
    <xf numFmtId="0" fontId="48" fillId="9" borderId="9" xfId="0" applyFont="1" applyFill="1" applyBorder="1" applyAlignment="1">
      <alignment horizontal="left" vertical="top" wrapText="1"/>
    </xf>
    <xf numFmtId="0" fontId="48" fillId="9" borderId="14" xfId="0" applyFont="1" applyFill="1" applyBorder="1" applyAlignment="1">
      <alignment horizontal="left" vertical="top" wrapText="1"/>
    </xf>
    <xf numFmtId="0" fontId="16" fillId="9" borderId="4" xfId="0" applyFont="1" applyFill="1" applyBorder="1" applyAlignment="1">
      <alignment horizontal="center" vertical="center" wrapText="1"/>
    </xf>
    <xf numFmtId="0" fontId="16" fillId="0" borderId="6" xfId="0" applyFont="1" applyBorder="1" applyAlignment="1">
      <alignment horizontal="center" vertical="center" wrapText="1"/>
    </xf>
    <xf numFmtId="0" fontId="16" fillId="9" borderId="4" xfId="0" applyFont="1" applyFill="1" applyBorder="1" applyAlignment="1">
      <alignment vertical="center"/>
    </xf>
    <xf numFmtId="0" fontId="16" fillId="0" borderId="5" xfId="0" applyFont="1" applyBorder="1" applyAlignment="1">
      <alignment vertical="center"/>
    </xf>
    <xf numFmtId="0" fontId="16" fillId="0" borderId="6" xfId="0" applyFont="1" applyBorder="1" applyAlignment="1">
      <alignment vertical="center"/>
    </xf>
    <xf numFmtId="0" fontId="0" fillId="7" borderId="4" xfId="0" applyFill="1" applyBorder="1" applyAlignment="1" applyProtection="1">
      <alignment horizontal="center"/>
      <protection locked="0"/>
    </xf>
    <xf numFmtId="0" fontId="0" fillId="0" borderId="6" xfId="0" applyBorder="1" applyAlignment="1" applyProtection="1">
      <alignment horizontal="center"/>
      <protection locked="0"/>
    </xf>
    <xf numFmtId="0" fontId="0" fillId="7" borderId="13" xfId="0" applyFill="1" applyBorder="1" applyAlignment="1" applyProtection="1">
      <protection locked="0"/>
    </xf>
    <xf numFmtId="0" fontId="0" fillId="7" borderId="9" xfId="0" applyFill="1" applyBorder="1" applyAlignment="1" applyProtection="1">
      <protection locked="0"/>
    </xf>
    <xf numFmtId="0" fontId="0" fillId="0" borderId="14" xfId="0" applyBorder="1" applyAlignment="1" applyProtection="1">
      <protection locked="0"/>
    </xf>
    <xf numFmtId="0" fontId="0" fillId="7" borderId="4" xfId="0" applyFill="1" applyBorder="1" applyAlignment="1" applyProtection="1">
      <protection locked="0"/>
    </xf>
    <xf numFmtId="0" fontId="0" fillId="7" borderId="5" xfId="0" applyFill="1" applyBorder="1" applyAlignment="1" applyProtection="1">
      <protection locked="0"/>
    </xf>
    <xf numFmtId="0" fontId="0" fillId="0" borderId="6" xfId="0" applyBorder="1" applyAlignment="1" applyProtection="1">
      <protection locked="0"/>
    </xf>
    <xf numFmtId="0" fontId="5" fillId="3" borderId="3" xfId="0" applyFont="1" applyFill="1" applyBorder="1" applyAlignment="1">
      <alignment vertical="center" wrapText="1"/>
    </xf>
    <xf numFmtId="0" fontId="16" fillId="0" borderId="3" xfId="0" applyFont="1" applyBorder="1" applyAlignment="1">
      <alignment vertical="center" wrapText="1"/>
    </xf>
    <xf numFmtId="0" fontId="16" fillId="0" borderId="3" xfId="0" applyFont="1" applyBorder="1" applyAlignment="1">
      <alignment wrapText="1"/>
    </xf>
    <xf numFmtId="0" fontId="4" fillId="3" borderId="3" xfId="0" applyFont="1" applyFill="1" applyBorder="1" applyAlignment="1">
      <alignment vertical="center" wrapText="1"/>
    </xf>
    <xf numFmtId="0" fontId="0" fillId="0" borderId="3" xfId="0" applyBorder="1" applyAlignment="1">
      <alignment vertical="center" wrapText="1"/>
    </xf>
    <xf numFmtId="0" fontId="0" fillId="0" borderId="3" xfId="0" applyBorder="1" applyAlignment="1">
      <alignment wrapText="1"/>
    </xf>
    <xf numFmtId="0" fontId="51" fillId="10" borderId="0" xfId="0" applyFont="1" applyFill="1" applyAlignment="1">
      <alignment horizontal="center" wrapText="1"/>
    </xf>
    <xf numFmtId="0" fontId="51" fillId="0" borderId="0" xfId="0" applyFont="1" applyAlignment="1">
      <alignment horizontal="center" wrapText="1"/>
    </xf>
    <xf numFmtId="0" fontId="0" fillId="10" borderId="0" xfId="0" applyFill="1" applyBorder="1" applyAlignment="1"/>
    <xf numFmtId="0" fontId="0" fillId="0" borderId="0" xfId="0" applyBorder="1" applyAlignment="1"/>
    <xf numFmtId="0" fontId="0" fillId="8" borderId="4" xfId="0" applyFill="1" applyBorder="1" applyAlignment="1">
      <alignment horizontal="center" vertical="center"/>
    </xf>
    <xf numFmtId="0" fontId="0" fillId="8" borderId="5" xfId="0" applyFill="1" applyBorder="1" applyAlignment="1">
      <alignment horizontal="center" vertical="center"/>
    </xf>
    <xf numFmtId="0" fontId="0" fillId="8" borderId="6" xfId="0" applyFill="1" applyBorder="1" applyAlignment="1">
      <alignment horizontal="center" vertical="center"/>
    </xf>
    <xf numFmtId="0" fontId="4" fillId="3" borderId="10" xfId="0" applyFont="1" applyFill="1" applyBorder="1" applyAlignment="1">
      <alignment horizontal="left" vertical="top" wrapText="1"/>
    </xf>
    <xf numFmtId="0" fontId="0" fillId="0" borderId="8" xfId="0" applyBorder="1" applyAlignment="1">
      <alignment wrapText="1"/>
    </xf>
    <xf numFmtId="0" fontId="0" fillId="0" borderId="11" xfId="0" applyBorder="1" applyAlignment="1">
      <alignment wrapText="1"/>
    </xf>
    <xf numFmtId="0" fontId="0" fillId="0" borderId="7" xfId="0" applyBorder="1" applyAlignment="1">
      <alignment wrapText="1"/>
    </xf>
    <xf numFmtId="0" fontId="0" fillId="0" borderId="0" xfId="0" applyAlignment="1">
      <alignment wrapText="1"/>
    </xf>
    <xf numFmtId="0" fontId="0" fillId="0" borderId="12" xfId="0" applyBorder="1" applyAlignment="1">
      <alignment wrapText="1"/>
    </xf>
    <xf numFmtId="0" fontId="0" fillId="0" borderId="13" xfId="0" applyBorder="1" applyAlignment="1">
      <alignment wrapText="1"/>
    </xf>
    <xf numFmtId="0" fontId="0" fillId="0" borderId="9" xfId="0" applyBorder="1" applyAlignment="1">
      <alignment wrapText="1"/>
    </xf>
    <xf numFmtId="0" fontId="0" fillId="0" borderId="14" xfId="0" applyBorder="1" applyAlignment="1">
      <alignment wrapText="1"/>
    </xf>
    <xf numFmtId="0" fontId="0" fillId="7" borderId="4" xfId="0" applyFill="1" applyBorder="1" applyAlignment="1" applyProtection="1">
      <alignment horizontal="left" vertical="center"/>
      <protection locked="0"/>
    </xf>
    <xf numFmtId="0" fontId="0" fillId="7" borderId="5" xfId="0" applyFill="1" applyBorder="1" applyAlignment="1" applyProtection="1">
      <alignment horizontal="left" vertical="center"/>
      <protection locked="0"/>
    </xf>
    <xf numFmtId="0" fontId="0" fillId="7" borderId="6" xfId="0" applyFill="1" applyBorder="1" applyAlignment="1" applyProtection="1">
      <alignment horizontal="left" vertical="center"/>
      <protection locked="0"/>
    </xf>
    <xf numFmtId="0" fontId="5" fillId="10" borderId="0" xfId="0" applyFont="1" applyFill="1" applyAlignment="1">
      <alignment horizontal="center"/>
    </xf>
    <xf numFmtId="0" fontId="0" fillId="10" borderId="0" xfId="0" applyFill="1" applyAlignment="1">
      <alignment horizontal="center"/>
    </xf>
    <xf numFmtId="0" fontId="0" fillId="0" borderId="0" xfId="0" applyAlignment="1"/>
    <xf numFmtId="0" fontId="5" fillId="10" borderId="0" xfId="0" applyFont="1" applyFill="1" applyAlignment="1">
      <alignment horizontal="center" vertical="center"/>
    </xf>
    <xf numFmtId="0" fontId="0" fillId="0" borderId="0" xfId="0" applyAlignment="1">
      <alignment horizontal="center"/>
    </xf>
    <xf numFmtId="0" fontId="7" fillId="10" borderId="0" xfId="0" applyFont="1" applyFill="1" applyAlignment="1">
      <alignment horizontal="center" vertical="center"/>
    </xf>
    <xf numFmtId="0" fontId="12" fillId="10" borderId="4" xfId="0" applyFont="1" applyFill="1" applyBorder="1" applyAlignment="1">
      <alignment horizontal="center" vertical="center"/>
    </xf>
    <xf numFmtId="0" fontId="12" fillId="10" borderId="5" xfId="0" applyFont="1" applyFill="1" applyBorder="1" applyAlignment="1">
      <alignment horizontal="center" vertical="center"/>
    </xf>
    <xf numFmtId="0" fontId="0" fillId="10" borderId="6" xfId="0" applyFill="1" applyBorder="1" applyAlignment="1"/>
    <xf numFmtId="0" fontId="0" fillId="7" borderId="5" xfId="0" applyFill="1" applyBorder="1" applyAlignment="1" applyProtection="1">
      <alignment horizontal="center" vertical="center"/>
      <protection locked="0"/>
    </xf>
    <xf numFmtId="0" fontId="0" fillId="7" borderId="6" xfId="0" applyFill="1" applyBorder="1" applyAlignment="1" applyProtection="1">
      <alignment horizontal="center" vertical="center"/>
      <protection locked="0"/>
    </xf>
    <xf numFmtId="0" fontId="0" fillId="7" borderId="9" xfId="0" applyFill="1" applyBorder="1" applyAlignment="1" applyProtection="1">
      <alignment horizontal="center" vertical="center"/>
      <protection locked="0"/>
    </xf>
    <xf numFmtId="0" fontId="0" fillId="7" borderId="14" xfId="0" applyFill="1" applyBorder="1" applyAlignment="1" applyProtection="1">
      <alignment horizontal="center" vertical="center"/>
      <protection locked="0"/>
    </xf>
    <xf numFmtId="0" fontId="0" fillId="7" borderId="10" xfId="0" applyFill="1" applyBorder="1" applyAlignment="1" applyProtection="1">
      <alignment horizontal="left" vertical="center"/>
      <protection locked="0"/>
    </xf>
    <xf numFmtId="0" fontId="0" fillId="7" borderId="8" xfId="0" applyFill="1" applyBorder="1" applyAlignment="1" applyProtection="1">
      <alignment horizontal="left" vertical="center"/>
      <protection locked="0"/>
    </xf>
    <xf numFmtId="0" fontId="0" fillId="7" borderId="11" xfId="0" applyFill="1" applyBorder="1" applyAlignment="1" applyProtection="1">
      <alignment horizontal="left" vertical="center"/>
      <protection locked="0"/>
    </xf>
    <xf numFmtId="0" fontId="16" fillId="7" borderId="4" xfId="0" applyFont="1" applyFill="1" applyBorder="1" applyAlignment="1" applyProtection="1">
      <alignment horizontal="left" vertical="top" wrapText="1"/>
      <protection locked="0"/>
    </xf>
    <xf numFmtId="0" fontId="16" fillId="7" borderId="5" xfId="0" applyFont="1" applyFill="1" applyBorder="1" applyAlignment="1" applyProtection="1">
      <alignment horizontal="left" vertical="top" wrapText="1"/>
      <protection locked="0"/>
    </xf>
    <xf numFmtId="0" fontId="16" fillId="7" borderId="6" xfId="0" applyFont="1" applyFill="1" applyBorder="1" applyAlignment="1" applyProtection="1">
      <alignment horizontal="left" vertical="top" wrapText="1"/>
      <protection locked="0"/>
    </xf>
    <xf numFmtId="0" fontId="4" fillId="3" borderId="10" xfId="0" applyFont="1" applyFill="1" applyBorder="1" applyAlignment="1">
      <alignment vertical="top" wrapText="1"/>
    </xf>
    <xf numFmtId="0" fontId="0" fillId="0" borderId="8" xfId="0" applyBorder="1" applyAlignment="1">
      <alignment vertical="top" wrapText="1"/>
    </xf>
    <xf numFmtId="0" fontId="0" fillId="0" borderId="11" xfId="0" applyBorder="1" applyAlignment="1">
      <alignment vertical="top" wrapText="1"/>
    </xf>
    <xf numFmtId="0" fontId="0" fillId="0" borderId="7" xfId="0" applyBorder="1" applyAlignment="1">
      <alignment vertical="top" wrapText="1"/>
    </xf>
    <xf numFmtId="0" fontId="0" fillId="0" borderId="0" xfId="0" applyBorder="1" applyAlignment="1">
      <alignment vertical="top" wrapText="1"/>
    </xf>
    <xf numFmtId="0" fontId="0" fillId="0" borderId="12" xfId="0" applyBorder="1" applyAlignment="1">
      <alignment vertical="top" wrapText="1"/>
    </xf>
    <xf numFmtId="0" fontId="0" fillId="0" borderId="13" xfId="0" applyBorder="1" applyAlignment="1">
      <alignment vertical="top" wrapText="1"/>
    </xf>
    <xf numFmtId="0" fontId="0" fillId="0" borderId="9" xfId="0" applyBorder="1" applyAlignment="1">
      <alignment vertical="top" wrapText="1"/>
    </xf>
    <xf numFmtId="0" fontId="0" fillId="0" borderId="14" xfId="0" applyBorder="1" applyAlignment="1">
      <alignment vertical="top" wrapText="1"/>
    </xf>
    <xf numFmtId="0" fontId="0" fillId="7" borderId="14" xfId="0" applyFill="1" applyBorder="1" applyAlignment="1" applyProtection="1">
      <protection locked="0"/>
    </xf>
    <xf numFmtId="0" fontId="16" fillId="7" borderId="44" xfId="0" applyFont="1" applyFill="1" applyBorder="1" applyAlignment="1" applyProtection="1">
      <alignment horizontal="left" vertical="top" wrapText="1"/>
      <protection locked="0"/>
    </xf>
    <xf numFmtId="0" fontId="16" fillId="7" borderId="31" xfId="0" applyFont="1" applyFill="1" applyBorder="1" applyAlignment="1" applyProtection="1">
      <alignment horizontal="left" vertical="top" wrapText="1"/>
      <protection locked="0"/>
    </xf>
    <xf numFmtId="0" fontId="16" fillId="7" borderId="45" xfId="0" applyFont="1" applyFill="1" applyBorder="1" applyAlignment="1" applyProtection="1">
      <alignment horizontal="left" vertical="top" wrapText="1"/>
      <protection locked="0"/>
    </xf>
    <xf numFmtId="0" fontId="16" fillId="7" borderId="46" xfId="0" applyFont="1" applyFill="1" applyBorder="1" applyAlignment="1" applyProtection="1">
      <alignment horizontal="left" vertical="top" wrapText="1"/>
      <protection locked="0"/>
    </xf>
    <xf numFmtId="0" fontId="16" fillId="7" borderId="0" xfId="0" applyFont="1" applyFill="1" applyBorder="1" applyAlignment="1" applyProtection="1">
      <alignment horizontal="left" vertical="top" wrapText="1"/>
      <protection locked="0"/>
    </xf>
    <xf numFmtId="0" fontId="16" fillId="7" borderId="47" xfId="0" applyFont="1" applyFill="1" applyBorder="1" applyAlignment="1" applyProtection="1">
      <alignment horizontal="left" vertical="top" wrapText="1"/>
      <protection locked="0"/>
    </xf>
    <xf numFmtId="0" fontId="16" fillId="7" borderId="48" xfId="0" applyFont="1" applyFill="1" applyBorder="1" applyAlignment="1" applyProtection="1">
      <alignment horizontal="left" vertical="top" wrapText="1"/>
      <protection locked="0"/>
    </xf>
    <xf numFmtId="0" fontId="16" fillId="7" borderId="2" xfId="0" applyFont="1" applyFill="1" applyBorder="1" applyAlignment="1" applyProtection="1">
      <alignment horizontal="left" vertical="top" wrapText="1"/>
      <protection locked="0"/>
    </xf>
    <xf numFmtId="0" fontId="16" fillId="7" borderId="49" xfId="0" applyFont="1" applyFill="1" applyBorder="1" applyAlignment="1" applyProtection="1">
      <alignment horizontal="left" vertical="top" wrapText="1"/>
      <protection locked="0"/>
    </xf>
    <xf numFmtId="0" fontId="4" fillId="3" borderId="10" xfId="0" applyFont="1" applyFill="1" applyBorder="1" applyAlignment="1">
      <alignment vertical="center" wrapText="1"/>
    </xf>
    <xf numFmtId="0" fontId="0" fillId="8" borderId="4" xfId="0" applyFill="1" applyBorder="1" applyAlignment="1" applyProtection="1">
      <alignment horizontal="center" vertical="center"/>
    </xf>
    <xf numFmtId="0" fontId="0" fillId="8" borderId="6" xfId="0" applyFill="1" applyBorder="1" applyAlignment="1" applyProtection="1">
      <alignment horizontal="center" vertical="center"/>
    </xf>
    <xf numFmtId="49" fontId="0" fillId="7" borderId="4" xfId="0" applyNumberFormat="1" applyFill="1" applyBorder="1" applyAlignment="1" applyProtection="1">
      <alignment horizontal="center" vertical="center"/>
      <protection locked="0"/>
    </xf>
    <xf numFmtId="49" fontId="0" fillId="7" borderId="6" xfId="0" applyNumberFormat="1" applyFill="1" applyBorder="1" applyAlignment="1" applyProtection="1">
      <alignment horizontal="center" vertical="center"/>
      <protection locked="0"/>
    </xf>
    <xf numFmtId="0" fontId="17" fillId="9" borderId="4" xfId="0" applyFont="1" applyFill="1" applyBorder="1" applyAlignment="1">
      <alignment horizontal="center" vertical="center" wrapText="1"/>
    </xf>
    <xf numFmtId="0" fontId="17" fillId="9" borderId="5" xfId="0" applyFont="1" applyFill="1" applyBorder="1" applyAlignment="1">
      <alignment horizontal="center" vertical="center" wrapText="1"/>
    </xf>
    <xf numFmtId="0" fontId="0" fillId="0" borderId="6" xfId="0" applyBorder="1" applyAlignment="1">
      <alignment horizontal="center" vertical="center" wrapText="1"/>
    </xf>
    <xf numFmtId="0" fontId="29" fillId="9" borderId="4" xfId="0" applyFont="1" applyFill="1" applyBorder="1" applyAlignment="1" applyProtection="1">
      <alignment horizontal="center" vertical="center" wrapText="1"/>
    </xf>
    <xf numFmtId="0" fontId="29" fillId="0" borderId="5" xfId="0" applyFont="1" applyBorder="1" applyAlignment="1" applyProtection="1">
      <alignment horizontal="center" vertical="center" wrapText="1"/>
    </xf>
    <xf numFmtId="0" fontId="29" fillId="0" borderId="6" xfId="0" applyFont="1" applyBorder="1" applyAlignment="1" applyProtection="1">
      <alignment horizontal="center" vertical="center" wrapText="1"/>
    </xf>
    <xf numFmtId="0" fontId="40" fillId="8" borderId="13" xfId="0" applyFont="1" applyFill="1" applyBorder="1" applyAlignment="1">
      <alignment horizontal="center" vertical="center" wrapText="1"/>
    </xf>
    <xf numFmtId="0" fontId="40" fillId="8" borderId="9" xfId="0" applyFont="1" applyFill="1" applyBorder="1" applyAlignment="1">
      <alignment horizontal="center" vertical="center" wrapText="1"/>
    </xf>
    <xf numFmtId="0" fontId="41" fillId="8" borderId="9" xfId="0" applyFont="1" applyFill="1" applyBorder="1" applyAlignment="1">
      <alignment horizontal="center" vertical="center" wrapText="1"/>
    </xf>
    <xf numFmtId="0" fontId="20" fillId="4" borderId="0" xfId="0" applyFont="1" applyFill="1" applyBorder="1" applyAlignment="1">
      <alignment horizontal="center" wrapText="1"/>
    </xf>
    <xf numFmtId="0" fontId="24" fillId="6" borderId="0" xfId="0" applyFont="1" applyFill="1" applyBorder="1" applyAlignment="1">
      <alignment horizontal="center" wrapText="1"/>
    </xf>
    <xf numFmtId="0" fontId="18" fillId="19" borderId="0" xfId="0" applyFont="1" applyFill="1" applyBorder="1" applyAlignment="1">
      <alignment horizontal="center" wrapText="1"/>
    </xf>
    <xf numFmtId="0" fontId="3" fillId="19" borderId="0" xfId="0" applyFont="1" applyFill="1" applyAlignment="1">
      <alignment wrapText="1"/>
    </xf>
    <xf numFmtId="0" fontId="3" fillId="19" borderId="0" xfId="0" applyFont="1" applyFill="1" applyAlignment="1">
      <alignment horizontal="center" wrapText="1"/>
    </xf>
    <xf numFmtId="0" fontId="21" fillId="19" borderId="34" xfId="2" applyFont="1" applyFill="1" applyBorder="1" applyAlignment="1">
      <alignment horizontal="center" wrapText="1"/>
    </xf>
    <xf numFmtId="0" fontId="21" fillId="19" borderId="0" xfId="2" applyFont="1" applyFill="1" applyBorder="1" applyAlignment="1">
      <alignment horizontal="center" wrapText="1"/>
    </xf>
    <xf numFmtId="0" fontId="30" fillId="0" borderId="0" xfId="0" applyFont="1" applyAlignment="1">
      <alignment horizontal="center" wrapText="1"/>
    </xf>
    <xf numFmtId="0" fontId="8" fillId="7" borderId="35" xfId="2" applyFont="1" applyFill="1" applyBorder="1" applyAlignment="1">
      <alignment horizontal="left" vertical="center" wrapText="1"/>
    </xf>
    <xf numFmtId="0" fontId="8" fillId="7" borderId="18" xfId="2" applyFont="1" applyFill="1" applyBorder="1" applyAlignment="1">
      <alignment horizontal="left" vertical="center" wrapText="1"/>
    </xf>
    <xf numFmtId="0" fontId="8" fillId="7" borderId="19" xfId="2" applyFont="1" applyFill="1" applyBorder="1" applyAlignment="1">
      <alignment horizontal="left" vertical="center" wrapText="1"/>
    </xf>
    <xf numFmtId="0" fontId="8" fillId="0" borderId="35" xfId="2" applyFont="1" applyFill="1" applyBorder="1" applyAlignment="1" applyProtection="1">
      <alignment horizontal="center" vertical="center"/>
      <protection locked="0"/>
    </xf>
    <xf numFmtId="0" fontId="8" fillId="0" borderId="18" xfId="2" applyFont="1" applyFill="1" applyBorder="1" applyAlignment="1" applyProtection="1">
      <alignment horizontal="center" vertical="center"/>
      <protection locked="0"/>
    </xf>
    <xf numFmtId="0" fontId="8" fillId="0" borderId="19" xfId="2" applyFont="1" applyFill="1" applyBorder="1" applyAlignment="1" applyProtection="1">
      <alignment horizontal="center" vertical="center"/>
      <protection locked="0"/>
    </xf>
    <xf numFmtId="44" fontId="8" fillId="9" borderId="35" xfId="1" applyFont="1" applyFill="1" applyBorder="1" applyAlignment="1">
      <alignment horizontal="center" vertical="center"/>
    </xf>
    <xf numFmtId="44" fontId="8" fillId="9" borderId="18" xfId="1" applyFont="1" applyFill="1" applyBorder="1" applyAlignment="1">
      <alignment horizontal="center" vertical="center"/>
    </xf>
    <xf numFmtId="44" fontId="8" fillId="9" borderId="19" xfId="1" applyFont="1" applyFill="1" applyBorder="1" applyAlignment="1">
      <alignment horizontal="center" vertical="center"/>
    </xf>
    <xf numFmtId="0" fontId="8" fillId="7" borderId="17" xfId="2" applyFont="1" applyFill="1" applyBorder="1" applyAlignment="1">
      <alignment horizontal="left" vertical="center" wrapText="1"/>
    </xf>
    <xf numFmtId="0" fontId="8" fillId="0" borderId="17" xfId="2" applyFont="1" applyFill="1" applyBorder="1" applyAlignment="1" applyProtection="1">
      <alignment horizontal="center" vertical="center"/>
      <protection locked="0"/>
    </xf>
    <xf numFmtId="44" fontId="8" fillId="9" borderId="17" xfId="1" applyNumberFormat="1" applyFont="1" applyFill="1" applyBorder="1" applyAlignment="1">
      <alignment horizontal="center" vertical="center"/>
    </xf>
    <xf numFmtId="44" fontId="8" fillId="9" borderId="18" xfId="1" applyNumberFormat="1" applyFont="1" applyFill="1" applyBorder="1" applyAlignment="1">
      <alignment horizontal="center" vertical="center"/>
    </xf>
    <xf numFmtId="44" fontId="8" fillId="9" borderId="19" xfId="1" applyNumberFormat="1" applyFont="1" applyFill="1" applyBorder="1" applyAlignment="1">
      <alignment horizontal="center" vertical="center"/>
    </xf>
    <xf numFmtId="0" fontId="0" fillId="10" borderId="0" xfId="0" applyFill="1" applyAlignment="1">
      <alignment wrapText="1"/>
    </xf>
    <xf numFmtId="0" fontId="0" fillId="10" borderId="0" xfId="0" applyFill="1" applyAlignment="1">
      <alignment horizontal="left" vertical="center" wrapText="1"/>
    </xf>
    <xf numFmtId="0" fontId="0" fillId="10" borderId="0" xfId="0" applyFill="1" applyAlignment="1">
      <alignment vertical="center" wrapText="1"/>
    </xf>
    <xf numFmtId="0" fontId="31" fillId="8" borderId="0" xfId="0" applyFont="1" applyFill="1" applyBorder="1" applyAlignment="1">
      <alignment horizontal="center" vertical="center"/>
    </xf>
    <xf numFmtId="0" fontId="0" fillId="8" borderId="0" xfId="0" applyFill="1" applyBorder="1" applyAlignment="1">
      <alignment vertical="center"/>
    </xf>
    <xf numFmtId="0" fontId="33" fillId="10" borderId="0" xfId="0" applyFont="1" applyFill="1" applyBorder="1" applyAlignment="1">
      <alignment horizontal="left" vertical="center" wrapText="1"/>
    </xf>
    <xf numFmtId="0" fontId="34" fillId="10" borderId="0" xfId="0" applyFont="1" applyFill="1" applyBorder="1" applyAlignment="1">
      <alignment vertical="center" wrapText="1"/>
    </xf>
    <xf numFmtId="0" fontId="34" fillId="10" borderId="2" xfId="0" applyFont="1" applyFill="1" applyBorder="1" applyAlignment="1">
      <alignment vertical="center" wrapText="1"/>
    </xf>
    <xf numFmtId="0" fontId="3" fillId="10" borderId="0" xfId="0" applyFont="1" applyFill="1" applyAlignment="1">
      <alignment vertical="center" wrapText="1"/>
    </xf>
    <xf numFmtId="0" fontId="3" fillId="10" borderId="0" xfId="0" applyFont="1" applyFill="1" applyAlignment="1">
      <alignment wrapText="1"/>
    </xf>
    <xf numFmtId="0" fontId="16" fillId="0" borderId="7" xfId="0" applyFont="1" applyBorder="1" applyAlignment="1" applyProtection="1">
      <alignment wrapText="1"/>
      <protection locked="0"/>
    </xf>
    <xf numFmtId="0" fontId="16" fillId="0" borderId="0" xfId="0" applyFont="1" applyBorder="1" applyAlignment="1" applyProtection="1">
      <alignment wrapText="1"/>
      <protection locked="0"/>
    </xf>
    <xf numFmtId="0" fontId="0" fillId="0" borderId="0" xfId="0" applyBorder="1" applyAlignment="1" applyProtection="1">
      <alignment wrapText="1"/>
      <protection locked="0"/>
    </xf>
    <xf numFmtId="0" fontId="0" fillId="0" borderId="10" xfId="0" applyBorder="1" applyAlignment="1" applyProtection="1">
      <alignment wrapText="1"/>
      <protection locked="0"/>
    </xf>
    <xf numFmtId="0" fontId="0" fillId="0" borderId="11" xfId="0" applyBorder="1" applyAlignment="1" applyProtection="1">
      <alignment wrapText="1"/>
      <protection locked="0"/>
    </xf>
    <xf numFmtId="0" fontId="0" fillId="9" borderId="10" xfId="0" applyFill="1" applyBorder="1" applyAlignment="1"/>
    <xf numFmtId="0" fontId="0" fillId="0" borderId="8" xfId="0" applyBorder="1" applyAlignment="1"/>
    <xf numFmtId="0" fontId="0" fillId="0" borderId="11" xfId="0" applyBorder="1" applyAlignment="1"/>
    <xf numFmtId="0" fontId="0" fillId="0" borderId="7" xfId="0" applyBorder="1" applyAlignment="1"/>
    <xf numFmtId="0" fontId="0" fillId="0" borderId="12" xfId="0" applyBorder="1" applyAlignment="1"/>
    <xf numFmtId="0" fontId="0" fillId="0" borderId="13" xfId="0" applyBorder="1" applyAlignment="1"/>
    <xf numFmtId="0" fontId="0" fillId="0" borderId="9" xfId="0" applyBorder="1" applyAlignment="1"/>
    <xf numFmtId="0" fontId="0" fillId="0" borderId="14" xfId="0" applyBorder="1" applyAlignment="1"/>
    <xf numFmtId="0" fontId="16" fillId="0" borderId="13" xfId="0" applyFont="1" applyBorder="1" applyAlignment="1" applyProtection="1">
      <alignment wrapText="1"/>
      <protection locked="0"/>
    </xf>
    <xf numFmtId="0" fontId="16" fillId="0" borderId="9" xfId="0" applyFont="1" applyBorder="1" applyAlignment="1" applyProtection="1">
      <alignment wrapText="1"/>
      <protection locked="0"/>
    </xf>
    <xf numFmtId="0" fontId="0" fillId="0" borderId="14" xfId="0" applyBorder="1" applyAlignment="1" applyProtection="1">
      <alignment wrapText="1"/>
      <protection locked="0"/>
    </xf>
    <xf numFmtId="0" fontId="16" fillId="0" borderId="12" xfId="0" applyFont="1" applyBorder="1" applyAlignment="1" applyProtection="1">
      <alignment wrapText="1"/>
      <protection locked="0"/>
    </xf>
    <xf numFmtId="0" fontId="0" fillId="0" borderId="0" xfId="0" applyFill="1" applyBorder="1" applyAlignment="1" applyProtection="1">
      <protection locked="0"/>
    </xf>
    <xf numFmtId="0" fontId="0" fillId="0" borderId="0" xfId="0" applyBorder="1" applyAlignment="1" applyProtection="1">
      <protection locked="0"/>
    </xf>
    <xf numFmtId="0" fontId="0" fillId="0" borderId="12" xfId="0" applyBorder="1" applyAlignment="1" applyProtection="1">
      <protection locked="0"/>
    </xf>
    <xf numFmtId="0" fontId="0" fillId="0" borderId="2" xfId="0" applyFill="1" applyBorder="1" applyAlignment="1" applyProtection="1">
      <protection locked="0"/>
    </xf>
    <xf numFmtId="0" fontId="0" fillId="0" borderId="2" xfId="0" applyBorder="1" applyAlignment="1" applyProtection="1">
      <protection locked="0"/>
    </xf>
    <xf numFmtId="0" fontId="0" fillId="0" borderId="30" xfId="0" applyBorder="1" applyAlignment="1" applyProtection="1">
      <protection locked="0"/>
    </xf>
    <xf numFmtId="0" fontId="16" fillId="0" borderId="29" xfId="0" applyFont="1" applyBorder="1" applyAlignment="1" applyProtection="1">
      <alignment wrapText="1"/>
      <protection locked="0"/>
    </xf>
    <xf numFmtId="0" fontId="16" fillId="0" borderId="30" xfId="0" applyFont="1" applyBorder="1" applyAlignment="1" applyProtection="1">
      <alignment wrapText="1"/>
      <protection locked="0"/>
    </xf>
    <xf numFmtId="0" fontId="3" fillId="17" borderId="4" xfId="0" applyFont="1" applyFill="1" applyBorder="1" applyAlignment="1">
      <alignment horizontal="left"/>
    </xf>
    <xf numFmtId="0" fontId="3" fillId="17" borderId="5" xfId="0" applyFont="1" applyFill="1" applyBorder="1" applyAlignment="1">
      <alignment horizontal="left"/>
    </xf>
    <xf numFmtId="0" fontId="0" fillId="0" borderId="6" xfId="0" applyBorder="1" applyAlignment="1">
      <alignment horizontal="left"/>
    </xf>
    <xf numFmtId="0" fontId="0" fillId="0" borderId="8" xfId="0" applyFill="1" applyBorder="1" applyAlignment="1" applyProtection="1">
      <protection locked="0"/>
    </xf>
    <xf numFmtId="0" fontId="0" fillId="0" borderId="8" xfId="0" applyBorder="1" applyAlignment="1" applyProtection="1">
      <protection locked="0"/>
    </xf>
    <xf numFmtId="0" fontId="0" fillId="0" borderId="11" xfId="0" applyBorder="1" applyAlignment="1" applyProtection="1">
      <protection locked="0"/>
    </xf>
    <xf numFmtId="0" fontId="3" fillId="16" borderId="4" xfId="0" applyFont="1" applyFill="1" applyBorder="1" applyAlignment="1">
      <alignment horizontal="left"/>
    </xf>
    <xf numFmtId="0" fontId="3" fillId="0" borderId="5" xfId="0" applyFont="1" applyBorder="1" applyAlignment="1">
      <alignment horizontal="left"/>
    </xf>
    <xf numFmtId="0" fontId="31" fillId="8" borderId="2" xfId="0" applyFont="1" applyFill="1" applyBorder="1" applyAlignment="1">
      <alignment horizontal="center" vertical="center"/>
    </xf>
    <xf numFmtId="0" fontId="0" fillId="0" borderId="2" xfId="0" applyBorder="1" applyAlignment="1"/>
    <xf numFmtId="0" fontId="11" fillId="16" borderId="27" xfId="0" applyFont="1" applyFill="1" applyBorder="1" applyAlignment="1">
      <alignment wrapText="1"/>
    </xf>
    <xf numFmtId="0" fontId="11" fillId="16" borderId="22" xfId="0" applyFont="1" applyFill="1" applyBorder="1" applyAlignment="1">
      <alignment wrapText="1"/>
    </xf>
    <xf numFmtId="0" fontId="11" fillId="16" borderId="9" xfId="0" applyFont="1" applyFill="1" applyBorder="1" applyAlignment="1">
      <alignment wrapText="1"/>
    </xf>
    <xf numFmtId="0" fontId="11" fillId="17" borderId="31" xfId="0" applyFont="1" applyFill="1" applyBorder="1" applyAlignment="1"/>
    <xf numFmtId="0" fontId="0" fillId="0" borderId="38" xfId="0" applyBorder="1" applyAlignment="1"/>
    <xf numFmtId="0" fontId="3" fillId="17" borderId="10" xfId="0" applyFont="1" applyFill="1" applyBorder="1" applyAlignment="1">
      <alignment horizontal="center"/>
    </xf>
    <xf numFmtId="0" fontId="3" fillId="17" borderId="8" xfId="0" applyFont="1" applyFill="1" applyBorder="1" applyAlignment="1">
      <alignment horizontal="center"/>
    </xf>
    <xf numFmtId="0" fontId="16" fillId="10" borderId="10" xfId="0" applyFont="1" applyFill="1" applyBorder="1" applyAlignment="1" applyProtection="1">
      <alignment horizontal="left" vertical="top" wrapText="1"/>
      <protection locked="0"/>
    </xf>
    <xf numFmtId="0" fontId="16" fillId="10" borderId="8" xfId="0" applyFont="1" applyFill="1" applyBorder="1" applyAlignment="1" applyProtection="1">
      <alignment horizontal="left" vertical="top" wrapText="1"/>
      <protection locked="0"/>
    </xf>
    <xf numFmtId="0" fontId="16" fillId="0" borderId="11" xfId="0" applyFont="1" applyBorder="1" applyAlignment="1" applyProtection="1">
      <alignment wrapText="1"/>
      <protection locked="0"/>
    </xf>
    <xf numFmtId="0" fontId="16" fillId="10" borderId="7" xfId="0" applyFont="1" applyFill="1" applyBorder="1" applyAlignment="1" applyProtection="1">
      <alignment horizontal="left" vertical="top" wrapText="1"/>
      <protection locked="0"/>
    </xf>
    <xf numFmtId="0" fontId="16" fillId="10" borderId="0" xfId="0" applyFont="1" applyFill="1" applyBorder="1" applyAlignment="1" applyProtection="1">
      <alignment horizontal="left" vertical="top" wrapText="1"/>
      <protection locked="0"/>
    </xf>
    <xf numFmtId="0" fontId="16" fillId="10" borderId="13" xfId="0" applyFont="1" applyFill="1" applyBorder="1" applyAlignment="1" applyProtection="1">
      <alignment horizontal="left" vertical="top" wrapText="1"/>
      <protection locked="0"/>
    </xf>
    <xf numFmtId="0" fontId="16" fillId="10" borderId="9" xfId="0" applyFont="1" applyFill="1" applyBorder="1" applyAlignment="1" applyProtection="1">
      <alignment horizontal="left" vertical="top" wrapText="1"/>
      <protection locked="0"/>
    </xf>
    <xf numFmtId="0" fontId="16" fillId="0" borderId="14" xfId="0" applyFont="1" applyBorder="1" applyAlignment="1" applyProtection="1">
      <alignment wrapText="1"/>
      <protection locked="0"/>
    </xf>
    <xf numFmtId="0" fontId="11" fillId="13" borderId="27" xfId="0" applyFont="1" applyFill="1" applyBorder="1" applyAlignment="1">
      <alignment wrapText="1"/>
    </xf>
    <xf numFmtId="0" fontId="11" fillId="0" borderId="22" xfId="0" applyFont="1" applyBorder="1" applyAlignment="1">
      <alignment wrapText="1"/>
    </xf>
    <xf numFmtId="0" fontId="11" fillId="0" borderId="9" xfId="0" applyFont="1" applyBorder="1" applyAlignment="1">
      <alignment wrapText="1"/>
    </xf>
    <xf numFmtId="0" fontId="3" fillId="7" borderId="4" xfId="0" applyFont="1" applyFill="1" applyBorder="1" applyAlignment="1">
      <alignment horizontal="center" vertical="center" wrapText="1"/>
    </xf>
    <xf numFmtId="0" fontId="0" fillId="7" borderId="5" xfId="0" applyFill="1" applyBorder="1" applyAlignment="1">
      <alignment wrapText="1"/>
    </xf>
    <xf numFmtId="0" fontId="0" fillId="0" borderId="6" xfId="0" applyBorder="1" applyAlignment="1">
      <alignment wrapText="1"/>
    </xf>
    <xf numFmtId="0" fontId="3" fillId="7" borderId="4" xfId="0" applyFont="1" applyFill="1" applyBorder="1" applyAlignment="1">
      <alignment horizontal="center" wrapText="1"/>
    </xf>
    <xf numFmtId="0" fontId="0" fillId="0" borderId="6" xfId="0" applyBorder="1" applyAlignment="1">
      <alignment horizontal="center" wrapText="1"/>
    </xf>
    <xf numFmtId="0" fontId="11" fillId="7" borderId="9" xfId="0" applyFont="1" applyFill="1" applyBorder="1" applyAlignment="1">
      <alignment horizontal="left"/>
    </xf>
    <xf numFmtId="0" fontId="0" fillId="0" borderId="9" xfId="0" applyFont="1" applyBorder="1" applyAlignment="1">
      <alignment horizontal="left"/>
    </xf>
    <xf numFmtId="0" fontId="0" fillId="0" borderId="0" xfId="0" applyFont="1" applyBorder="1" applyAlignment="1">
      <alignment horizontal="left"/>
    </xf>
    <xf numFmtId="0" fontId="3" fillId="13" borderId="13" xfId="0" applyFont="1" applyFill="1" applyBorder="1" applyAlignment="1">
      <alignment horizontal="center" wrapText="1"/>
    </xf>
    <xf numFmtId="0" fontId="0" fillId="0" borderId="14" xfId="0" applyBorder="1" applyAlignment="1">
      <alignment horizontal="center" wrapText="1"/>
    </xf>
    <xf numFmtId="0" fontId="16" fillId="0" borderId="10" xfId="0" applyFont="1" applyBorder="1" applyAlignment="1" applyProtection="1">
      <alignment wrapText="1"/>
      <protection locked="0"/>
    </xf>
    <xf numFmtId="0" fontId="0" fillId="0" borderId="7" xfId="0" applyBorder="1" applyAlignment="1" applyProtection="1">
      <alignment wrapText="1"/>
      <protection locked="0"/>
    </xf>
    <xf numFmtId="0" fontId="0" fillId="0" borderId="29" xfId="0" applyBorder="1" applyAlignment="1" applyProtection="1">
      <alignment wrapText="1"/>
      <protection locked="0"/>
    </xf>
    <xf numFmtId="0" fontId="46" fillId="0" borderId="0" xfId="0" applyFont="1" applyAlignment="1">
      <alignment horizontal="center"/>
    </xf>
    <xf numFmtId="0" fontId="0" fillId="7" borderId="0" xfId="0" applyFill="1" applyAlignment="1" applyProtection="1">
      <alignment horizontal="center" vertical="center"/>
    </xf>
    <xf numFmtId="0" fontId="0" fillId="0" borderId="0" xfId="0" applyAlignment="1">
      <alignment horizontal="center" vertical="center"/>
    </xf>
    <xf numFmtId="0" fontId="3" fillId="0" borderId="0" xfId="0" applyFont="1" applyAlignment="1">
      <alignment horizontal="right" vertical="center"/>
    </xf>
    <xf numFmtId="0" fontId="46" fillId="0" borderId="0" xfId="0" applyFont="1" applyAlignment="1">
      <alignment horizontal="left"/>
    </xf>
    <xf numFmtId="0" fontId="47" fillId="0" borderId="0" xfId="0" applyFont="1" applyAlignment="1">
      <alignment horizontal="left"/>
    </xf>
  </cellXfs>
  <cellStyles count="4">
    <cellStyle name="Currency" xfId="1" builtinId="4"/>
    <cellStyle name="Hyperlink" xfId="3" builtinId="8"/>
    <cellStyle name="Normal" xfId="0" builtinId="0"/>
    <cellStyle name="Output" xfId="2" builtinId="21"/>
  </cellStyles>
  <dxfs count="5">
    <dxf>
      <fill>
        <patternFill>
          <bgColor theme="0" tint="-0.34998626667073579"/>
        </patternFill>
      </fill>
      <border>
        <left/>
        <right/>
        <top/>
        <bottom/>
        <vertical/>
        <horizontal/>
      </border>
    </dxf>
    <dxf>
      <fill>
        <patternFill>
          <bgColor theme="0" tint="-0.34998626667073579"/>
        </patternFill>
      </fill>
      <border>
        <left/>
        <right/>
        <top/>
        <bottom/>
        <vertical/>
        <horizontal/>
      </border>
    </dxf>
    <dxf>
      <fill>
        <patternFill>
          <bgColor theme="0" tint="-0.34998626667073579"/>
        </patternFill>
      </fill>
      <border>
        <left/>
        <right/>
        <top/>
        <bottom/>
        <vertical/>
        <horizontal/>
      </border>
    </dxf>
    <dxf>
      <fill>
        <patternFill>
          <bgColor theme="0" tint="-0.34998626667073579"/>
        </patternFill>
      </fill>
      <border>
        <left/>
        <right/>
        <top/>
        <bottom/>
        <vertical/>
        <horizontal/>
      </border>
    </dxf>
    <dxf>
      <fill>
        <patternFill>
          <bgColor theme="0" tint="-0.34998626667073579"/>
        </patternFill>
      </fill>
      <border>
        <left/>
        <right/>
        <top/>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gif"/><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10</xdr:col>
      <xdr:colOff>0</xdr:colOff>
      <xdr:row>0</xdr:row>
      <xdr:rowOff>38100</xdr:rowOff>
    </xdr:from>
    <xdr:to>
      <xdr:col>10</xdr:col>
      <xdr:colOff>731520</xdr:colOff>
      <xdr:row>1</xdr:row>
      <xdr:rowOff>60960</xdr:rowOff>
    </xdr:to>
    <xdr:pic>
      <xdr:nvPicPr>
        <xdr:cNvPr id="6" name="Picture 1">
          <a:extLst>
            <a:ext uri="{FF2B5EF4-FFF2-40B4-BE49-F238E27FC236}">
              <a16:creationId xmlns:a16="http://schemas.microsoft.com/office/drawing/2014/main" id="{00000000-0008-0000-0100-00000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93180" y="38100"/>
          <a:ext cx="731520" cy="3505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60960</xdr:colOff>
      <xdr:row>0</xdr:row>
      <xdr:rowOff>45720</xdr:rowOff>
    </xdr:from>
    <xdr:to>
      <xdr:col>0</xdr:col>
      <xdr:colOff>982980</xdr:colOff>
      <xdr:row>1</xdr:row>
      <xdr:rowOff>15240</xdr:rowOff>
    </xdr:to>
    <xdr:pic>
      <xdr:nvPicPr>
        <xdr:cNvPr id="7" name="Picture 2">
          <a:extLst>
            <a:ext uri="{FF2B5EF4-FFF2-40B4-BE49-F238E27FC236}">
              <a16:creationId xmlns:a16="http://schemas.microsoft.com/office/drawing/2014/main" id="{00000000-0008-0000-0100-00000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960" y="45720"/>
          <a:ext cx="922020" cy="2971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4</xdr:col>
          <xdr:colOff>175260</xdr:colOff>
          <xdr:row>16</xdr:row>
          <xdr:rowOff>0</xdr:rowOff>
        </xdr:from>
        <xdr:to>
          <xdr:col>4</xdr:col>
          <xdr:colOff>594360</xdr:colOff>
          <xdr:row>17</xdr:row>
          <xdr:rowOff>0</xdr:rowOff>
        </xdr:to>
        <xdr:sp macro="" textlink="">
          <xdr:nvSpPr>
            <xdr:cNvPr id="1032" name="Check Box 8" descr="HUP" hidden="1">
              <a:extLst>
                <a:ext uri="{63B3BB69-23CF-44E3-9099-C40C66FF867C}">
                  <a14:compatExt spid="_x0000_s1032"/>
                </a:ext>
                <a:ext uri="{FF2B5EF4-FFF2-40B4-BE49-F238E27FC236}">
                  <a16:creationId xmlns:a16="http://schemas.microsoft.com/office/drawing/2014/main" id="{00000000-0008-0000-0100-00000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HUP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632460</xdr:colOff>
          <xdr:row>16</xdr:row>
          <xdr:rowOff>22860</xdr:rowOff>
        </xdr:from>
        <xdr:to>
          <xdr:col>5</xdr:col>
          <xdr:colOff>289560</xdr:colOff>
          <xdr:row>16</xdr:row>
          <xdr:rowOff>228600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100-00000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PPMC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396240</xdr:colOff>
          <xdr:row>16</xdr:row>
          <xdr:rowOff>53340</xdr:rowOff>
        </xdr:from>
        <xdr:to>
          <xdr:col>6</xdr:col>
          <xdr:colOff>205740</xdr:colOff>
          <xdr:row>16</xdr:row>
          <xdr:rowOff>213360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100-00000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xdr:colOff>
          <xdr:row>18</xdr:row>
          <xdr:rowOff>15240</xdr:rowOff>
        </xdr:from>
        <xdr:to>
          <xdr:col>5</xdr:col>
          <xdr:colOff>441960</xdr:colOff>
          <xdr:row>19</xdr:row>
          <xdr:rowOff>15240</xdr:rowOff>
        </xdr:to>
        <xdr:sp macro="" textlink="">
          <xdr:nvSpPr>
            <xdr:cNvPr id="1036" name="Check Box 12" descr="HUP" hidden="1">
              <a:extLst>
                <a:ext uri="{63B3BB69-23CF-44E3-9099-C40C66FF867C}">
                  <a14:compatExt spid="_x0000_s1036"/>
                </a:ext>
                <a:ext uri="{FF2B5EF4-FFF2-40B4-BE49-F238E27FC236}">
                  <a16:creationId xmlns:a16="http://schemas.microsoft.com/office/drawing/2014/main" id="{00000000-0008-0000-0100-00000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Dulles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22860</xdr:colOff>
          <xdr:row>18</xdr:row>
          <xdr:rowOff>15240</xdr:rowOff>
        </xdr:from>
        <xdr:to>
          <xdr:col>7</xdr:col>
          <xdr:colOff>281940</xdr:colOff>
          <xdr:row>19</xdr:row>
          <xdr:rowOff>15240</xdr:rowOff>
        </xdr:to>
        <xdr:sp macro="" textlink="">
          <xdr:nvSpPr>
            <xdr:cNvPr id="1038" name="Check Box 14" descr="HUP" hidden="1">
              <a:extLst>
                <a:ext uri="{63B3BB69-23CF-44E3-9099-C40C66FF867C}">
                  <a14:compatExt spid="_x0000_s1038"/>
                </a:ext>
                <a:ext uri="{FF2B5EF4-FFF2-40B4-BE49-F238E27FC236}">
                  <a16:creationId xmlns:a16="http://schemas.microsoft.com/office/drawing/2014/main" id="{00000000-0008-0000-0100-00000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PCAM 4S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365760</xdr:colOff>
          <xdr:row>18</xdr:row>
          <xdr:rowOff>15240</xdr:rowOff>
        </xdr:from>
        <xdr:to>
          <xdr:col>8</xdr:col>
          <xdr:colOff>396240</xdr:colOff>
          <xdr:row>19</xdr:row>
          <xdr:rowOff>15240</xdr:rowOff>
        </xdr:to>
        <xdr:sp macro="" textlink="">
          <xdr:nvSpPr>
            <xdr:cNvPr id="1039" name="Check Box 15" descr="HUP" hidden="1">
              <a:extLst>
                <a:ext uri="{63B3BB69-23CF-44E3-9099-C40C66FF867C}">
                  <a14:compatExt spid="_x0000_s1039"/>
                </a:ext>
                <a:ext uri="{FF2B5EF4-FFF2-40B4-BE49-F238E27FC236}">
                  <a16:creationId xmlns:a16="http://schemas.microsoft.com/office/drawing/2014/main" id="{00000000-0008-0000-0100-00000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Mutch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37</xdr:row>
          <xdr:rowOff>0</xdr:rowOff>
        </xdr:from>
        <xdr:to>
          <xdr:col>3</xdr:col>
          <xdr:colOff>175260</xdr:colOff>
          <xdr:row>38</xdr:row>
          <xdr:rowOff>15240</xdr:rowOff>
        </xdr:to>
        <xdr:sp macro="" textlink="">
          <xdr:nvSpPr>
            <xdr:cNvPr id="1040" name="Check Box 16" descr="HUP" hidden="1">
              <a:extLst>
                <a:ext uri="{63B3BB69-23CF-44E3-9099-C40C66FF867C}">
                  <a14:compatExt spid="_x0000_s1040"/>
                </a:ext>
                <a:ext uri="{FF2B5EF4-FFF2-40B4-BE49-F238E27FC236}">
                  <a16:creationId xmlns:a16="http://schemas.microsoft.com/office/drawing/2014/main" id="{00000000-0008-0000-0100-00001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38</xdr:row>
          <xdr:rowOff>0</xdr:rowOff>
        </xdr:from>
        <xdr:to>
          <xdr:col>3</xdr:col>
          <xdr:colOff>175260</xdr:colOff>
          <xdr:row>39</xdr:row>
          <xdr:rowOff>15240</xdr:rowOff>
        </xdr:to>
        <xdr:sp macro="" textlink="">
          <xdr:nvSpPr>
            <xdr:cNvPr id="1041" name="Check Box 17" descr="HUP" hidden="1">
              <a:extLst>
                <a:ext uri="{63B3BB69-23CF-44E3-9099-C40C66FF867C}">
                  <a14:compatExt spid="_x0000_s1041"/>
                </a:ext>
                <a:ext uri="{FF2B5EF4-FFF2-40B4-BE49-F238E27FC236}">
                  <a16:creationId xmlns:a16="http://schemas.microsoft.com/office/drawing/2014/main" id="{00000000-0008-0000-0100-00001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39</xdr:row>
          <xdr:rowOff>15240</xdr:rowOff>
        </xdr:from>
        <xdr:to>
          <xdr:col>3</xdr:col>
          <xdr:colOff>175260</xdr:colOff>
          <xdr:row>40</xdr:row>
          <xdr:rowOff>22860</xdr:rowOff>
        </xdr:to>
        <xdr:sp macro="" textlink="">
          <xdr:nvSpPr>
            <xdr:cNvPr id="1042" name="Check Box 18" descr="HUP" hidden="1">
              <a:extLst>
                <a:ext uri="{63B3BB69-23CF-44E3-9099-C40C66FF867C}">
                  <a14:compatExt spid="_x0000_s1042"/>
                </a:ext>
                <a:ext uri="{FF2B5EF4-FFF2-40B4-BE49-F238E27FC236}">
                  <a16:creationId xmlns:a16="http://schemas.microsoft.com/office/drawing/2014/main" id="{00000000-0008-0000-0100-00001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40</xdr:row>
          <xdr:rowOff>0</xdr:rowOff>
        </xdr:from>
        <xdr:to>
          <xdr:col>3</xdr:col>
          <xdr:colOff>175260</xdr:colOff>
          <xdr:row>41</xdr:row>
          <xdr:rowOff>15240</xdr:rowOff>
        </xdr:to>
        <xdr:sp macro="" textlink="">
          <xdr:nvSpPr>
            <xdr:cNvPr id="1043" name="Check Box 19" descr="HUP" hidden="1">
              <a:extLst>
                <a:ext uri="{63B3BB69-23CF-44E3-9099-C40C66FF867C}">
                  <a14:compatExt spid="_x0000_s1043"/>
                </a:ext>
                <a:ext uri="{FF2B5EF4-FFF2-40B4-BE49-F238E27FC236}">
                  <a16:creationId xmlns:a16="http://schemas.microsoft.com/office/drawing/2014/main" id="{00000000-0008-0000-0100-00001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40</xdr:row>
          <xdr:rowOff>175260</xdr:rowOff>
        </xdr:from>
        <xdr:to>
          <xdr:col>3</xdr:col>
          <xdr:colOff>175260</xdr:colOff>
          <xdr:row>42</xdr:row>
          <xdr:rowOff>15240</xdr:rowOff>
        </xdr:to>
        <xdr:sp macro="" textlink="">
          <xdr:nvSpPr>
            <xdr:cNvPr id="1044" name="Check Box 20" descr="HUP" hidden="1">
              <a:extLst>
                <a:ext uri="{63B3BB69-23CF-44E3-9099-C40C66FF867C}">
                  <a14:compatExt spid="_x0000_s1044"/>
                </a:ext>
                <a:ext uri="{FF2B5EF4-FFF2-40B4-BE49-F238E27FC236}">
                  <a16:creationId xmlns:a16="http://schemas.microsoft.com/office/drawing/2014/main" id="{00000000-0008-0000-0100-00001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41</xdr:row>
          <xdr:rowOff>167640</xdr:rowOff>
        </xdr:from>
        <xdr:to>
          <xdr:col>3</xdr:col>
          <xdr:colOff>175260</xdr:colOff>
          <xdr:row>42</xdr:row>
          <xdr:rowOff>175260</xdr:rowOff>
        </xdr:to>
        <xdr:sp macro="" textlink="">
          <xdr:nvSpPr>
            <xdr:cNvPr id="1045" name="Check Box 21" descr="HUP" hidden="1">
              <a:extLst>
                <a:ext uri="{63B3BB69-23CF-44E3-9099-C40C66FF867C}">
                  <a14:compatExt spid="_x0000_s1045"/>
                </a:ext>
                <a:ext uri="{FF2B5EF4-FFF2-40B4-BE49-F238E27FC236}">
                  <a16:creationId xmlns:a16="http://schemas.microsoft.com/office/drawing/2014/main" id="{00000000-0008-0000-0100-00001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xdr:colOff>
          <xdr:row>42</xdr:row>
          <xdr:rowOff>167640</xdr:rowOff>
        </xdr:from>
        <xdr:to>
          <xdr:col>3</xdr:col>
          <xdr:colOff>175260</xdr:colOff>
          <xdr:row>43</xdr:row>
          <xdr:rowOff>175260</xdr:rowOff>
        </xdr:to>
        <xdr:sp macro="" textlink="">
          <xdr:nvSpPr>
            <xdr:cNvPr id="1046" name="Check Box 22" descr="HUP" hidden="1">
              <a:extLst>
                <a:ext uri="{63B3BB69-23CF-44E3-9099-C40C66FF867C}">
                  <a14:compatExt spid="_x0000_s1046"/>
                </a:ext>
                <a:ext uri="{FF2B5EF4-FFF2-40B4-BE49-F238E27FC236}">
                  <a16:creationId xmlns:a16="http://schemas.microsoft.com/office/drawing/2014/main" id="{00000000-0008-0000-0100-00001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xml"/><Relationship Id="rId13" Type="http://schemas.openxmlformats.org/officeDocument/2006/relationships/ctrlProp" Target="../ctrlProps/ctrlProp7.xml"/><Relationship Id="rId18" Type="http://schemas.openxmlformats.org/officeDocument/2006/relationships/ctrlProp" Target="../ctrlProps/ctrlProp12.xml"/><Relationship Id="rId3" Type="http://schemas.openxmlformats.org/officeDocument/2006/relationships/hyperlink" Target="mailto:IDSNorth@pennmedicine.upenn.edu" TargetMode="External"/><Relationship Id="rId7" Type="http://schemas.openxmlformats.org/officeDocument/2006/relationships/ctrlProp" Target="../ctrlProps/ctrlProp1.xml"/><Relationship Id="rId12" Type="http://schemas.openxmlformats.org/officeDocument/2006/relationships/ctrlProp" Target="../ctrlProps/ctrlProp6.xml"/><Relationship Id="rId17" Type="http://schemas.openxmlformats.org/officeDocument/2006/relationships/ctrlProp" Target="../ctrlProps/ctrlProp11.xml"/><Relationship Id="rId2" Type="http://schemas.openxmlformats.org/officeDocument/2006/relationships/hyperlink" Target="mailto:PennIDS@pennmedicine.upenn.edu" TargetMode="External"/><Relationship Id="rId16" Type="http://schemas.openxmlformats.org/officeDocument/2006/relationships/ctrlProp" Target="../ctrlProps/ctrlProp10.xml"/><Relationship Id="rId1" Type="http://schemas.openxmlformats.org/officeDocument/2006/relationships/hyperlink" Target="http://www.itmat.upenn.edu/ids.shtml" TargetMode="External"/><Relationship Id="rId6" Type="http://schemas.openxmlformats.org/officeDocument/2006/relationships/vmlDrawing" Target="../drawings/vmlDrawing1.vml"/><Relationship Id="rId11" Type="http://schemas.openxmlformats.org/officeDocument/2006/relationships/ctrlProp" Target="../ctrlProps/ctrlProp5.xml"/><Relationship Id="rId5" Type="http://schemas.openxmlformats.org/officeDocument/2006/relationships/drawing" Target="../drawings/drawing1.xml"/><Relationship Id="rId15" Type="http://schemas.openxmlformats.org/officeDocument/2006/relationships/ctrlProp" Target="../ctrlProps/ctrlProp9.xml"/><Relationship Id="rId10" Type="http://schemas.openxmlformats.org/officeDocument/2006/relationships/ctrlProp" Target="../ctrlProps/ctrlProp4.xml"/><Relationship Id="rId19" Type="http://schemas.openxmlformats.org/officeDocument/2006/relationships/ctrlProp" Target="../ctrlProps/ctrlProp13.xml"/><Relationship Id="rId4" Type="http://schemas.openxmlformats.org/officeDocument/2006/relationships/printerSettings" Target="../printerSettings/printerSettings2.bin"/><Relationship Id="rId9" Type="http://schemas.openxmlformats.org/officeDocument/2006/relationships/ctrlProp" Target="../ctrlProps/ctrlProp3.xml"/><Relationship Id="rId14" Type="http://schemas.openxmlformats.org/officeDocument/2006/relationships/ctrlProp" Target="../ctrlProps/ctrlProp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9">
    <tabColor theme="0"/>
  </sheetPr>
  <dimension ref="A1:K52"/>
  <sheetViews>
    <sheetView tabSelected="1" zoomScaleNormal="100" workbookViewId="0">
      <selection activeCell="N14" sqref="N14"/>
    </sheetView>
  </sheetViews>
  <sheetFormatPr defaultColWidth="8.77734375" defaultRowHeight="14.4" x14ac:dyDescent="0.3"/>
  <sheetData>
    <row r="1" spans="1:11" x14ac:dyDescent="0.3">
      <c r="A1" s="196" t="s">
        <v>284</v>
      </c>
      <c r="B1" s="3"/>
      <c r="C1" s="3"/>
      <c r="D1" s="3"/>
      <c r="E1" s="3"/>
      <c r="F1" s="3"/>
      <c r="G1" s="3"/>
      <c r="H1" s="3"/>
      <c r="I1" s="3"/>
      <c r="J1" s="3"/>
      <c r="K1" s="3"/>
    </row>
    <row r="2" spans="1:11" x14ac:dyDescent="0.3">
      <c r="A2" s="174"/>
      <c r="B2" s="3"/>
      <c r="C2" s="3"/>
      <c r="D2" s="3"/>
      <c r="E2" s="3"/>
      <c r="F2" s="3"/>
      <c r="G2" s="3"/>
      <c r="H2" s="3"/>
      <c r="I2" s="3"/>
      <c r="J2" s="3"/>
      <c r="K2" s="3"/>
    </row>
    <row r="3" spans="1:11" x14ac:dyDescent="0.3">
      <c r="A3" s="174" t="s">
        <v>306</v>
      </c>
      <c r="B3" s="3"/>
      <c r="C3" s="3"/>
      <c r="D3" s="3"/>
      <c r="E3" s="3"/>
      <c r="F3" s="3"/>
      <c r="G3" s="3"/>
      <c r="H3" s="3"/>
      <c r="I3" s="3"/>
      <c r="J3" s="3"/>
      <c r="K3" s="3"/>
    </row>
    <row r="4" spans="1:11" x14ac:dyDescent="0.3">
      <c r="A4" s="174" t="s">
        <v>285</v>
      </c>
      <c r="B4" s="3"/>
      <c r="C4" s="3"/>
      <c r="D4" s="3"/>
      <c r="E4" s="3"/>
      <c r="F4" s="3"/>
      <c r="G4" s="3"/>
      <c r="H4" s="3"/>
      <c r="I4" s="3"/>
      <c r="J4" s="3"/>
      <c r="K4" s="3"/>
    </row>
    <row r="5" spans="1:11" x14ac:dyDescent="0.3">
      <c r="A5" s="174"/>
      <c r="B5" s="3"/>
      <c r="C5" s="3"/>
      <c r="D5" s="3"/>
      <c r="E5" s="3"/>
      <c r="F5" s="3"/>
      <c r="G5" s="3"/>
      <c r="H5" s="3"/>
      <c r="I5" s="3"/>
      <c r="J5" s="3"/>
      <c r="K5" s="3"/>
    </row>
    <row r="6" spans="1:11" x14ac:dyDescent="0.3">
      <c r="A6" s="175" t="s">
        <v>305</v>
      </c>
      <c r="B6" s="3"/>
      <c r="C6" s="3"/>
      <c r="D6" s="3"/>
      <c r="E6" s="3"/>
      <c r="F6" s="3"/>
      <c r="G6" s="3"/>
      <c r="H6" s="3"/>
      <c r="I6" s="3"/>
      <c r="J6" s="3"/>
      <c r="K6" s="3"/>
    </row>
    <row r="7" spans="1:11" x14ac:dyDescent="0.3">
      <c r="A7" s="175" t="s">
        <v>307</v>
      </c>
      <c r="B7" s="3"/>
      <c r="C7" s="3"/>
      <c r="D7" s="3"/>
      <c r="E7" s="3"/>
      <c r="F7" s="3"/>
      <c r="G7" s="3"/>
      <c r="H7" s="3"/>
      <c r="I7" s="3"/>
      <c r="J7" s="3"/>
      <c r="K7" s="3"/>
    </row>
    <row r="8" spans="1:11" ht="9" customHeight="1" x14ac:dyDescent="0.3">
      <c r="A8" s="3"/>
      <c r="B8" s="3"/>
      <c r="C8" s="3"/>
      <c r="D8" s="3"/>
      <c r="E8" s="3"/>
      <c r="F8" s="3"/>
      <c r="G8" s="3"/>
      <c r="H8" s="3"/>
      <c r="I8" s="3"/>
      <c r="J8" s="3"/>
      <c r="K8" s="3"/>
    </row>
    <row r="9" spans="1:11" x14ac:dyDescent="0.3">
      <c r="A9" s="194" t="s">
        <v>286</v>
      </c>
      <c r="B9" s="3"/>
      <c r="C9" s="3"/>
      <c r="D9" s="3"/>
      <c r="E9" s="3"/>
      <c r="F9" s="3"/>
      <c r="G9" s="3"/>
      <c r="H9" s="3"/>
      <c r="I9" s="3"/>
      <c r="J9" s="3"/>
      <c r="K9" s="3"/>
    </row>
    <row r="10" spans="1:11" ht="17.55" customHeight="1" x14ac:dyDescent="0.3">
      <c r="A10" s="174" t="s">
        <v>287</v>
      </c>
      <c r="B10" s="3"/>
      <c r="C10" s="3"/>
      <c r="D10" s="3"/>
      <c r="E10" s="3"/>
      <c r="F10" s="3"/>
      <c r="G10" s="3"/>
      <c r="H10" s="3"/>
      <c r="I10" s="3"/>
      <c r="J10" s="3"/>
      <c r="K10" s="3"/>
    </row>
    <row r="11" spans="1:11" ht="6" customHeight="1" x14ac:dyDescent="0.3">
      <c r="A11" s="3"/>
      <c r="B11" s="3"/>
      <c r="C11" s="3"/>
      <c r="D11" s="3"/>
      <c r="E11" s="3"/>
      <c r="F11" s="3"/>
      <c r="G11" s="3"/>
      <c r="H11" s="3"/>
      <c r="I11" s="3"/>
      <c r="J11" s="3"/>
      <c r="K11" s="3"/>
    </row>
    <row r="12" spans="1:11" x14ac:dyDescent="0.3">
      <c r="A12" s="195" t="s">
        <v>288</v>
      </c>
      <c r="B12" s="3"/>
      <c r="C12" s="3"/>
      <c r="D12" s="3"/>
      <c r="E12" s="3"/>
      <c r="F12" s="3"/>
      <c r="G12" s="3"/>
      <c r="H12" s="3"/>
      <c r="I12" s="3"/>
      <c r="J12" s="3"/>
      <c r="K12" s="3"/>
    </row>
    <row r="13" spans="1:11" ht="15.45" customHeight="1" x14ac:dyDescent="0.3">
      <c r="A13" s="174" t="s">
        <v>289</v>
      </c>
      <c r="B13" s="3"/>
      <c r="C13" s="3"/>
      <c r="D13" s="3"/>
      <c r="E13" s="3"/>
      <c r="F13" s="3"/>
      <c r="G13" s="3"/>
      <c r="H13" s="3"/>
      <c r="I13" s="3"/>
      <c r="J13" s="3"/>
      <c r="K13" s="3"/>
    </row>
    <row r="14" spans="1:11" x14ac:dyDescent="0.3">
      <c r="A14" s="174" t="s">
        <v>290</v>
      </c>
      <c r="B14" s="3"/>
      <c r="C14" s="3"/>
      <c r="D14" s="3"/>
      <c r="E14" s="3"/>
      <c r="F14" s="3"/>
      <c r="G14" s="3"/>
      <c r="H14" s="3"/>
      <c r="I14" s="3"/>
      <c r="J14" s="3"/>
      <c r="K14" s="3"/>
    </row>
    <row r="15" spans="1:11" ht="6" customHeight="1" x14ac:dyDescent="0.3">
      <c r="A15" s="3"/>
      <c r="B15" s="3"/>
      <c r="C15" s="3"/>
      <c r="D15" s="3"/>
      <c r="E15" s="3"/>
      <c r="F15" s="3"/>
      <c r="G15" s="3"/>
      <c r="H15" s="3"/>
      <c r="I15" s="3"/>
      <c r="J15" s="3"/>
      <c r="K15" s="3"/>
    </row>
    <row r="16" spans="1:11" x14ac:dyDescent="0.3">
      <c r="A16" s="195" t="s">
        <v>291</v>
      </c>
      <c r="B16" s="3"/>
      <c r="C16" s="3"/>
      <c r="D16" s="3"/>
      <c r="E16" s="3"/>
      <c r="F16" s="3"/>
      <c r="G16" s="3"/>
      <c r="H16" s="3"/>
      <c r="I16" s="3"/>
      <c r="J16" s="3"/>
      <c r="K16" s="3"/>
    </row>
    <row r="17" spans="1:11" ht="17.55" customHeight="1" x14ac:dyDescent="0.3">
      <c r="A17" s="174" t="s">
        <v>292</v>
      </c>
      <c r="B17" s="3"/>
      <c r="C17" s="3"/>
      <c r="D17" s="3"/>
      <c r="E17" s="3"/>
      <c r="F17" s="3"/>
      <c r="G17" s="3"/>
      <c r="H17" s="3"/>
      <c r="I17" s="3"/>
      <c r="J17" s="3"/>
      <c r="K17" s="3"/>
    </row>
    <row r="18" spans="1:11" ht="7.2" customHeight="1" x14ac:dyDescent="0.3">
      <c r="A18" s="3"/>
      <c r="B18" s="3"/>
      <c r="C18" s="3"/>
      <c r="D18" s="3"/>
      <c r="E18" s="3"/>
      <c r="F18" s="3"/>
      <c r="G18" s="3"/>
      <c r="H18" s="3"/>
      <c r="I18" s="3"/>
      <c r="J18" s="3"/>
      <c r="K18" s="3"/>
    </row>
    <row r="19" spans="1:11" x14ac:dyDescent="0.3">
      <c r="A19" s="195" t="s">
        <v>293</v>
      </c>
      <c r="B19" s="3"/>
      <c r="C19" s="3"/>
      <c r="D19" s="3"/>
      <c r="E19" s="3"/>
      <c r="F19" s="3"/>
      <c r="G19" s="3"/>
      <c r="H19" s="3"/>
      <c r="I19" s="3"/>
      <c r="J19" s="3"/>
      <c r="K19" s="3"/>
    </row>
    <row r="20" spans="1:11" ht="16.8" customHeight="1" x14ac:dyDescent="0.3">
      <c r="A20" s="174" t="s">
        <v>294</v>
      </c>
      <c r="B20" s="3"/>
      <c r="C20" s="3"/>
      <c r="D20" s="3"/>
      <c r="E20" s="3"/>
      <c r="F20" s="3"/>
      <c r="G20" s="3"/>
      <c r="H20" s="3"/>
      <c r="I20" s="3"/>
      <c r="J20" s="3"/>
      <c r="K20" s="3"/>
    </row>
    <row r="21" spans="1:11" x14ac:dyDescent="0.3">
      <c r="A21" s="174" t="s">
        <v>295</v>
      </c>
      <c r="B21" s="3"/>
      <c r="C21" s="3"/>
      <c r="D21" s="3"/>
      <c r="E21" s="3"/>
      <c r="F21" s="3"/>
      <c r="G21" s="3"/>
      <c r="H21" s="3"/>
      <c r="I21" s="3"/>
      <c r="J21" s="3"/>
      <c r="K21" s="3"/>
    </row>
    <row r="22" spans="1:11" x14ac:dyDescent="0.3">
      <c r="A22" s="3"/>
      <c r="B22" s="3"/>
      <c r="C22" s="3"/>
      <c r="D22" s="3"/>
      <c r="E22" s="3"/>
      <c r="F22" s="3"/>
      <c r="G22" s="3"/>
      <c r="H22" s="3"/>
      <c r="I22" s="3"/>
      <c r="J22" s="3"/>
      <c r="K22" s="3"/>
    </row>
    <row r="23" spans="1:11" x14ac:dyDescent="0.3">
      <c r="A23" s="3"/>
      <c r="B23" s="3"/>
      <c r="C23" s="3"/>
      <c r="D23" s="3"/>
      <c r="E23" s="3"/>
      <c r="F23" s="3"/>
      <c r="G23" s="3"/>
      <c r="H23" s="3"/>
      <c r="I23" s="3"/>
      <c r="J23" s="3"/>
      <c r="K23" s="3"/>
    </row>
    <row r="24" spans="1:11" x14ac:dyDescent="0.3">
      <c r="A24" s="3"/>
      <c r="B24" s="3"/>
      <c r="C24" s="3"/>
      <c r="D24" s="3"/>
      <c r="E24" s="3"/>
      <c r="F24" s="3"/>
      <c r="G24" s="3"/>
      <c r="H24" s="3"/>
      <c r="I24" s="3"/>
      <c r="J24" s="3"/>
      <c r="K24" s="3"/>
    </row>
    <row r="25" spans="1:11" x14ac:dyDescent="0.3">
      <c r="A25" s="3"/>
      <c r="B25" s="3"/>
      <c r="C25" s="3"/>
      <c r="D25" s="3"/>
      <c r="E25" s="3"/>
      <c r="F25" s="3"/>
      <c r="G25" s="3"/>
      <c r="H25" s="3"/>
      <c r="I25" s="3"/>
      <c r="J25" s="3"/>
      <c r="K25" s="3"/>
    </row>
    <row r="26" spans="1:11" x14ac:dyDescent="0.3">
      <c r="A26" s="3"/>
      <c r="B26" s="3"/>
      <c r="C26" s="3"/>
      <c r="D26" s="3"/>
      <c r="E26" s="3"/>
      <c r="F26" s="3"/>
      <c r="G26" s="3"/>
      <c r="H26" s="3"/>
      <c r="I26" s="3"/>
      <c r="J26" s="3"/>
      <c r="K26" s="3"/>
    </row>
    <row r="27" spans="1:11" x14ac:dyDescent="0.3">
      <c r="A27" s="3"/>
      <c r="B27" s="3"/>
      <c r="C27" s="3"/>
      <c r="D27" s="3"/>
      <c r="E27" s="3"/>
      <c r="F27" s="3"/>
      <c r="G27" s="3"/>
      <c r="H27" s="3"/>
      <c r="I27" s="3"/>
      <c r="J27" s="3"/>
      <c r="K27" s="3"/>
    </row>
    <row r="28" spans="1:11" x14ac:dyDescent="0.3">
      <c r="A28" s="3"/>
      <c r="B28" s="3"/>
      <c r="C28" s="3"/>
      <c r="D28" s="3"/>
      <c r="E28" s="3"/>
      <c r="F28" s="3"/>
      <c r="G28" s="3"/>
      <c r="H28" s="3"/>
      <c r="I28" s="3"/>
      <c r="J28" s="3"/>
      <c r="K28" s="3"/>
    </row>
    <row r="29" spans="1:11" x14ac:dyDescent="0.3">
      <c r="A29" s="3"/>
      <c r="B29" s="3"/>
      <c r="C29" s="3"/>
      <c r="D29" s="3"/>
      <c r="E29" s="3"/>
      <c r="F29" s="3"/>
      <c r="G29" s="3"/>
      <c r="H29" s="3"/>
      <c r="I29" s="3"/>
      <c r="J29" s="3"/>
      <c r="K29" s="3"/>
    </row>
    <row r="30" spans="1:11" x14ac:dyDescent="0.3">
      <c r="A30" s="3"/>
      <c r="B30" s="3"/>
      <c r="C30" s="3"/>
      <c r="D30" s="3"/>
      <c r="E30" s="3"/>
      <c r="F30" s="3"/>
      <c r="G30" s="3"/>
      <c r="H30" s="3"/>
      <c r="I30" s="3"/>
      <c r="J30" s="3"/>
      <c r="K30" s="3"/>
    </row>
    <row r="31" spans="1:11" x14ac:dyDescent="0.3">
      <c r="A31" s="3"/>
      <c r="B31" s="3"/>
      <c r="C31" s="3"/>
      <c r="D31" s="3"/>
      <c r="E31" s="3"/>
      <c r="F31" s="3"/>
      <c r="G31" s="3"/>
      <c r="H31" s="3"/>
      <c r="I31" s="3"/>
      <c r="J31" s="3"/>
      <c r="K31" s="3"/>
    </row>
    <row r="32" spans="1:11" x14ac:dyDescent="0.3">
      <c r="A32" s="3"/>
      <c r="B32" s="3"/>
      <c r="C32" s="3"/>
      <c r="D32" s="3"/>
      <c r="E32" s="3"/>
      <c r="F32" s="3"/>
      <c r="G32" s="3"/>
      <c r="H32" s="3"/>
      <c r="I32" s="3"/>
      <c r="J32" s="3"/>
      <c r="K32" s="3"/>
    </row>
    <row r="33" spans="1:11" x14ac:dyDescent="0.3">
      <c r="A33" s="3"/>
      <c r="B33" s="3"/>
      <c r="C33" s="3"/>
      <c r="D33" s="3"/>
      <c r="E33" s="3"/>
      <c r="F33" s="3"/>
      <c r="G33" s="3"/>
      <c r="H33" s="3"/>
      <c r="I33" s="3"/>
      <c r="J33" s="3"/>
      <c r="K33" s="3"/>
    </row>
    <row r="34" spans="1:11" x14ac:dyDescent="0.3">
      <c r="A34" s="3"/>
      <c r="B34" s="3"/>
      <c r="C34" s="3"/>
      <c r="D34" s="3"/>
      <c r="E34" s="3"/>
      <c r="F34" s="3"/>
      <c r="G34" s="3"/>
      <c r="H34" s="3"/>
      <c r="I34" s="3"/>
      <c r="J34" s="3"/>
      <c r="K34" s="3"/>
    </row>
    <row r="35" spans="1:11" x14ac:dyDescent="0.3">
      <c r="A35" s="3"/>
      <c r="B35" s="3"/>
      <c r="C35" s="3"/>
      <c r="D35" s="3"/>
      <c r="E35" s="3"/>
      <c r="F35" s="3"/>
      <c r="G35" s="3"/>
      <c r="H35" s="3"/>
      <c r="I35" s="3"/>
      <c r="J35" s="3"/>
      <c r="K35" s="3"/>
    </row>
    <row r="36" spans="1:11" x14ac:dyDescent="0.3">
      <c r="A36" s="3"/>
      <c r="B36" s="3"/>
      <c r="C36" s="3"/>
      <c r="D36" s="3"/>
      <c r="E36" s="3"/>
      <c r="F36" s="3"/>
      <c r="G36" s="3"/>
      <c r="H36" s="3"/>
      <c r="I36" s="3"/>
      <c r="J36" s="3"/>
      <c r="K36" s="3"/>
    </row>
    <row r="37" spans="1:11" x14ac:dyDescent="0.3">
      <c r="A37" s="3"/>
      <c r="B37" s="3"/>
      <c r="C37" s="3"/>
      <c r="D37" s="3"/>
      <c r="E37" s="3"/>
      <c r="F37" s="3"/>
      <c r="G37" s="3"/>
      <c r="H37" s="3"/>
      <c r="I37" s="3"/>
      <c r="J37" s="3"/>
      <c r="K37" s="3"/>
    </row>
    <row r="38" spans="1:11" x14ac:dyDescent="0.3">
      <c r="A38" s="3"/>
      <c r="B38" s="3"/>
      <c r="C38" s="3"/>
      <c r="D38" s="3"/>
      <c r="E38" s="3"/>
      <c r="F38" s="3"/>
      <c r="G38" s="3"/>
      <c r="H38" s="3"/>
      <c r="I38" s="3"/>
      <c r="J38" s="3"/>
      <c r="K38" s="3"/>
    </row>
    <row r="39" spans="1:11" x14ac:dyDescent="0.3">
      <c r="A39" s="3"/>
      <c r="B39" s="3"/>
      <c r="C39" s="3"/>
      <c r="D39" s="3"/>
      <c r="E39" s="3"/>
      <c r="F39" s="3"/>
      <c r="G39" s="3"/>
      <c r="H39" s="3"/>
      <c r="I39" s="3"/>
      <c r="J39" s="3"/>
      <c r="K39" s="3"/>
    </row>
    <row r="40" spans="1:11" x14ac:dyDescent="0.3">
      <c r="A40" s="3"/>
      <c r="B40" s="3"/>
      <c r="C40" s="3"/>
      <c r="D40" s="3"/>
      <c r="E40" s="3"/>
      <c r="F40" s="3"/>
      <c r="G40" s="3"/>
      <c r="H40" s="3"/>
      <c r="I40" s="3"/>
      <c r="J40" s="3"/>
      <c r="K40" s="3"/>
    </row>
    <row r="41" spans="1:11" x14ac:dyDescent="0.3">
      <c r="A41" s="3"/>
      <c r="B41" s="3"/>
      <c r="C41" s="3"/>
      <c r="D41" s="3"/>
      <c r="E41" s="3"/>
      <c r="F41" s="3"/>
      <c r="G41" s="3"/>
      <c r="H41" s="3"/>
      <c r="I41" s="3"/>
      <c r="J41" s="3"/>
      <c r="K41" s="3"/>
    </row>
    <row r="42" spans="1:11" x14ac:dyDescent="0.3">
      <c r="A42" s="3"/>
      <c r="B42" s="3"/>
      <c r="C42" s="3"/>
      <c r="D42" s="3"/>
      <c r="E42" s="3"/>
      <c r="F42" s="3"/>
      <c r="G42" s="3"/>
      <c r="H42" s="3"/>
      <c r="I42" s="3"/>
      <c r="J42" s="3"/>
      <c r="K42" s="3"/>
    </row>
    <row r="43" spans="1:11" x14ac:dyDescent="0.3">
      <c r="A43" s="3"/>
      <c r="B43" s="3"/>
      <c r="C43" s="3"/>
      <c r="D43" s="3"/>
      <c r="E43" s="3"/>
      <c r="F43" s="3"/>
      <c r="G43" s="3"/>
      <c r="H43" s="3"/>
      <c r="I43" s="3"/>
      <c r="J43" s="3"/>
      <c r="K43" s="3"/>
    </row>
    <row r="44" spans="1:11" x14ac:dyDescent="0.3">
      <c r="A44" s="3"/>
      <c r="B44" s="3"/>
      <c r="C44" s="3"/>
      <c r="D44" s="3"/>
      <c r="E44" s="3"/>
      <c r="F44" s="3"/>
      <c r="G44" s="3"/>
      <c r="H44" s="3"/>
      <c r="I44" s="3"/>
      <c r="J44" s="3"/>
      <c r="K44" s="3"/>
    </row>
    <row r="45" spans="1:11" x14ac:dyDescent="0.3">
      <c r="A45" s="3"/>
      <c r="B45" s="3"/>
      <c r="C45" s="3"/>
      <c r="D45" s="3"/>
      <c r="E45" s="3"/>
      <c r="F45" s="3"/>
      <c r="G45" s="3"/>
      <c r="H45" s="3"/>
      <c r="I45" s="3"/>
      <c r="J45" s="3"/>
      <c r="K45" s="3"/>
    </row>
    <row r="46" spans="1:11" x14ac:dyDescent="0.3">
      <c r="A46" s="3"/>
      <c r="B46" s="3"/>
      <c r="C46" s="3"/>
      <c r="D46" s="3"/>
      <c r="E46" s="3"/>
      <c r="F46" s="3"/>
      <c r="G46" s="3"/>
      <c r="H46" s="3"/>
      <c r="I46" s="3"/>
      <c r="J46" s="3"/>
      <c r="K46" s="3"/>
    </row>
    <row r="47" spans="1:11" x14ac:dyDescent="0.3">
      <c r="A47" s="3"/>
      <c r="B47" s="3"/>
      <c r="C47" s="3"/>
      <c r="D47" s="3"/>
      <c r="E47" s="3"/>
      <c r="F47" s="3"/>
      <c r="G47" s="3"/>
      <c r="H47" s="3"/>
      <c r="I47" s="3"/>
      <c r="J47" s="3"/>
      <c r="K47" s="3"/>
    </row>
    <row r="48" spans="1:11" x14ac:dyDescent="0.3">
      <c r="A48" s="3"/>
      <c r="B48" s="3"/>
      <c r="C48" s="3"/>
      <c r="D48" s="3"/>
      <c r="E48" s="3"/>
      <c r="F48" s="3"/>
      <c r="G48" s="3"/>
      <c r="H48" s="3"/>
      <c r="I48" s="3"/>
      <c r="J48" s="3"/>
      <c r="K48" s="3"/>
    </row>
    <row r="49" spans="1:11" x14ac:dyDescent="0.3">
      <c r="A49" s="3"/>
      <c r="B49" s="3"/>
      <c r="C49" s="3"/>
      <c r="D49" s="3"/>
      <c r="E49" s="3"/>
      <c r="F49" s="3"/>
      <c r="G49" s="3"/>
      <c r="H49" s="3"/>
      <c r="I49" s="3"/>
      <c r="J49" s="3"/>
      <c r="K49" s="3"/>
    </row>
    <row r="50" spans="1:11" x14ac:dyDescent="0.3">
      <c r="A50" s="3"/>
      <c r="B50" s="3"/>
      <c r="C50" s="3"/>
      <c r="D50" s="3"/>
      <c r="E50" s="3"/>
      <c r="F50" s="3"/>
      <c r="G50" s="3"/>
      <c r="H50" s="3"/>
      <c r="I50" s="3"/>
      <c r="J50" s="3"/>
      <c r="K50" s="3"/>
    </row>
    <row r="51" spans="1:11" x14ac:dyDescent="0.3">
      <c r="A51" s="3"/>
      <c r="B51" s="3"/>
      <c r="C51" s="3"/>
      <c r="D51" s="3"/>
      <c r="E51" s="3"/>
      <c r="F51" s="3"/>
      <c r="G51" s="3"/>
      <c r="H51" s="3"/>
      <c r="I51" s="3"/>
      <c r="J51" s="3"/>
      <c r="K51" s="3"/>
    </row>
    <row r="52" spans="1:11" x14ac:dyDescent="0.3">
      <c r="A52" s="3"/>
      <c r="B52" s="3"/>
      <c r="C52" s="3"/>
      <c r="D52" s="3"/>
      <c r="E52" s="3"/>
      <c r="F52" s="3"/>
      <c r="G52" s="3"/>
      <c r="H52" s="3"/>
      <c r="I52" s="3"/>
      <c r="J52" s="3"/>
      <c r="K52" s="3"/>
    </row>
  </sheetData>
  <sheetProtection algorithmName="SHA-512" hashValue="ErFPDW1xgYUG/qPaMY1Wlwx+czB/CH9TSg11DPA+igw8CNySgkM2BoSyKwvu/PUp87fmoHymAxq1t28doJJOqQ==" saltValue="n24tr1GA29pgjrTJO9hECA==" spinCount="100000" sheet="1" selectLockedCells="1" selectUnlockedCells="1"/>
  <pageMargins left="0.7" right="0.7" top="0.75" bottom="0.75" header="0.3" footer="0.3"/>
  <pageSetup scale="92"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theme="4" tint="-0.499984740745262"/>
  </sheetPr>
  <dimension ref="A1:V60"/>
  <sheetViews>
    <sheetView zoomScaleNormal="100" workbookViewId="0">
      <selection activeCell="B8" sqref="B8:K8"/>
    </sheetView>
  </sheetViews>
  <sheetFormatPr defaultColWidth="8.77734375" defaultRowHeight="14.4" x14ac:dyDescent="0.3"/>
  <cols>
    <col min="1" max="1" width="21.109375" customWidth="1"/>
    <col min="3" max="3" width="6.33203125" customWidth="1"/>
    <col min="4" max="4" width="7.109375" customWidth="1"/>
    <col min="5" max="5" width="11" customWidth="1"/>
    <col min="6" max="6" width="8.77734375" customWidth="1"/>
    <col min="7" max="7" width="5.44140625" customWidth="1"/>
    <col min="9" max="9" width="12.109375" customWidth="1"/>
    <col min="10" max="10" width="3.109375" customWidth="1"/>
    <col min="11" max="11" width="12" customWidth="1"/>
    <col min="12" max="14" width="8.77734375" hidden="1" customWidth="1"/>
    <col min="15" max="16" width="8.77734375" style="9" hidden="1" customWidth="1"/>
    <col min="17" max="17" width="12" style="9" hidden="1" customWidth="1"/>
    <col min="18" max="18" width="0" hidden="1" customWidth="1"/>
    <col min="22" max="22" width="0" hidden="1" customWidth="1"/>
  </cols>
  <sheetData>
    <row r="1" spans="1:18" ht="25.8" customHeight="1" x14ac:dyDescent="0.3">
      <c r="A1" s="323" t="s">
        <v>19</v>
      </c>
      <c r="B1" s="324"/>
      <c r="C1" s="324"/>
      <c r="D1" s="324"/>
      <c r="E1" s="324"/>
      <c r="F1" s="324"/>
      <c r="G1" s="324"/>
      <c r="H1" s="324"/>
      <c r="I1" s="324"/>
      <c r="J1" s="324"/>
      <c r="K1" s="325"/>
    </row>
    <row r="2" spans="1:18" ht="15" x14ac:dyDescent="0.3">
      <c r="A2" s="326" t="s">
        <v>9</v>
      </c>
      <c r="B2" s="324"/>
      <c r="C2" s="324"/>
      <c r="D2" s="324"/>
      <c r="E2" s="324"/>
      <c r="F2" s="324"/>
      <c r="G2" s="324"/>
      <c r="H2" s="324"/>
      <c r="I2" s="324"/>
      <c r="J2" s="324"/>
      <c r="K2" s="325"/>
    </row>
    <row r="3" spans="1:18" ht="15" x14ac:dyDescent="0.3">
      <c r="A3" s="326" t="s">
        <v>10</v>
      </c>
      <c r="B3" s="324"/>
      <c r="C3" s="324"/>
      <c r="D3" s="324"/>
      <c r="E3" s="324"/>
      <c r="F3" s="324"/>
      <c r="G3" s="324"/>
      <c r="H3" s="324"/>
      <c r="I3" s="324"/>
      <c r="J3" s="324"/>
      <c r="K3" s="325"/>
    </row>
    <row r="4" spans="1:18" x14ac:dyDescent="0.3">
      <c r="A4" s="326" t="s">
        <v>11</v>
      </c>
      <c r="B4" s="324"/>
      <c r="C4" s="324"/>
      <c r="D4" s="324"/>
      <c r="E4" s="324"/>
      <c r="F4" s="324"/>
      <c r="G4" s="324"/>
      <c r="H4" s="324"/>
      <c r="I4" s="324"/>
      <c r="J4" s="324"/>
      <c r="K4" s="327"/>
    </row>
    <row r="5" spans="1:18" x14ac:dyDescent="0.3">
      <c r="A5" s="328" t="s">
        <v>12</v>
      </c>
      <c r="B5" s="324"/>
      <c r="C5" s="324"/>
      <c r="D5" s="324"/>
      <c r="E5" s="324"/>
      <c r="F5" s="324"/>
      <c r="G5" s="324"/>
      <c r="H5" s="324"/>
      <c r="I5" s="324"/>
      <c r="J5" s="324"/>
      <c r="K5" s="325"/>
    </row>
    <row r="6" spans="1:18" ht="16.8" customHeight="1" x14ac:dyDescent="0.3">
      <c r="A6" s="4" t="s">
        <v>24</v>
      </c>
      <c r="B6" s="5"/>
      <c r="C6" s="5"/>
      <c r="D6" s="4" t="s">
        <v>13</v>
      </c>
      <c r="E6" s="5"/>
      <c r="F6" s="5"/>
      <c r="G6" s="5"/>
      <c r="H6" s="4" t="s">
        <v>14</v>
      </c>
      <c r="I6" s="5"/>
      <c r="J6" s="5"/>
      <c r="K6" s="5"/>
    </row>
    <row r="7" spans="1:18" ht="22.2" customHeight="1" x14ac:dyDescent="0.3">
      <c r="A7" s="329" t="s">
        <v>15</v>
      </c>
      <c r="B7" s="330"/>
      <c r="C7" s="330"/>
      <c r="D7" s="330"/>
      <c r="E7" s="330"/>
      <c r="F7" s="330"/>
      <c r="G7" s="330"/>
      <c r="H7" s="330"/>
      <c r="I7" s="330"/>
      <c r="J7" s="330"/>
      <c r="K7" s="331"/>
    </row>
    <row r="8" spans="1:18" ht="24" customHeight="1" x14ac:dyDescent="0.3">
      <c r="A8" s="3" t="s">
        <v>16</v>
      </c>
      <c r="B8" s="296"/>
      <c r="C8" s="296"/>
      <c r="D8" s="296"/>
      <c r="E8" s="296"/>
      <c r="F8" s="296"/>
      <c r="G8" s="296"/>
      <c r="H8" s="296"/>
      <c r="I8" s="296"/>
      <c r="J8" s="296"/>
      <c r="K8" s="296"/>
    </row>
    <row r="9" spans="1:18" ht="24" customHeight="1" x14ac:dyDescent="0.3">
      <c r="A9" s="3" t="s">
        <v>17</v>
      </c>
      <c r="B9" s="293"/>
      <c r="C9" s="293"/>
      <c r="D9" s="293"/>
      <c r="E9" s="293"/>
      <c r="F9" s="306" t="s">
        <v>22</v>
      </c>
      <c r="G9" s="307"/>
      <c r="H9" s="296"/>
      <c r="I9" s="296"/>
      <c r="J9" s="296"/>
      <c r="K9" s="296"/>
    </row>
    <row r="10" spans="1:18" ht="24" customHeight="1" x14ac:dyDescent="0.3">
      <c r="A10" s="3" t="s">
        <v>18</v>
      </c>
      <c r="B10" s="3"/>
      <c r="C10" s="293"/>
      <c r="D10" s="293"/>
      <c r="E10" s="293"/>
      <c r="F10" s="293"/>
      <c r="G10" s="293"/>
      <c r="H10" s="293"/>
      <c r="I10" s="293"/>
      <c r="J10" s="293"/>
      <c r="K10" s="293"/>
    </row>
    <row r="11" spans="1:18" ht="24" customHeight="1" x14ac:dyDescent="0.3">
      <c r="A11" s="304" t="s">
        <v>20</v>
      </c>
      <c r="B11" s="305"/>
      <c r="C11" s="305"/>
      <c r="D11" s="305"/>
      <c r="E11" s="305"/>
      <c r="F11" s="305"/>
      <c r="G11" s="305"/>
      <c r="H11" s="305"/>
      <c r="I11" s="305"/>
      <c r="J11" s="305"/>
      <c r="K11" s="305"/>
    </row>
    <row r="12" spans="1:18" x14ac:dyDescent="0.3">
      <c r="A12" s="305"/>
      <c r="B12" s="305"/>
      <c r="C12" s="305"/>
      <c r="D12" s="305"/>
      <c r="E12" s="305"/>
      <c r="F12" s="305"/>
      <c r="G12" s="305"/>
      <c r="H12" s="305"/>
      <c r="I12" s="305"/>
      <c r="J12" s="305"/>
      <c r="K12" s="305"/>
    </row>
    <row r="13" spans="1:18" x14ac:dyDescent="0.3">
      <c r="A13" s="3"/>
      <c r="B13" s="3"/>
      <c r="C13" s="3"/>
      <c r="D13" s="3"/>
      <c r="E13" s="3"/>
      <c r="F13" s="3"/>
      <c r="G13" s="3"/>
      <c r="H13" s="3"/>
      <c r="I13" s="3"/>
      <c r="J13" s="3"/>
      <c r="K13" s="3"/>
    </row>
    <row r="14" spans="1:18" ht="15.6" x14ac:dyDescent="0.3">
      <c r="A14" s="6" t="s">
        <v>21</v>
      </c>
      <c r="B14" s="3"/>
      <c r="C14" s="3"/>
      <c r="D14" s="3"/>
      <c r="E14" s="3"/>
      <c r="F14" s="3"/>
      <c r="G14" s="3"/>
      <c r="H14" s="3"/>
      <c r="I14" s="3"/>
      <c r="J14" s="3"/>
      <c r="K14" s="3"/>
    </row>
    <row r="15" spans="1:18" ht="9.4499999999999993" customHeight="1" x14ac:dyDescent="0.3">
      <c r="A15" s="3"/>
      <c r="B15" s="3"/>
      <c r="C15" s="3"/>
      <c r="D15" s="3"/>
      <c r="E15" s="3"/>
      <c r="F15" s="3"/>
      <c r="G15" s="3"/>
      <c r="H15" s="3"/>
      <c r="I15" s="3"/>
      <c r="J15" s="3"/>
      <c r="K15" s="3"/>
    </row>
    <row r="16" spans="1:18" ht="19.8" customHeight="1" x14ac:dyDescent="0.3">
      <c r="A16" s="301" t="s">
        <v>0</v>
      </c>
      <c r="B16" s="302"/>
      <c r="C16" s="303"/>
      <c r="D16" s="236"/>
      <c r="E16" s="308" t="s">
        <v>1</v>
      </c>
      <c r="F16" s="309"/>
      <c r="G16" s="309"/>
      <c r="H16" s="310"/>
      <c r="I16" s="176"/>
      <c r="J16" s="92" t="s">
        <v>23</v>
      </c>
      <c r="K16" s="176"/>
      <c r="O16" s="9">
        <f>K16-I16</f>
        <v>0</v>
      </c>
      <c r="P16" s="9">
        <f>O16/365</f>
        <v>0</v>
      </c>
      <c r="Q16" s="9">
        <f>ROUNDUP(P16,0)</f>
        <v>0</v>
      </c>
      <c r="R16" t="s">
        <v>78</v>
      </c>
    </row>
    <row r="17" spans="1:22" ht="19.8" customHeight="1" x14ac:dyDescent="0.3">
      <c r="A17" s="311" t="s">
        <v>2</v>
      </c>
      <c r="B17" s="312"/>
      <c r="C17" s="313"/>
      <c r="D17" s="197" t="s">
        <v>25</v>
      </c>
      <c r="E17" s="177"/>
      <c r="F17" s="178"/>
      <c r="G17" s="178"/>
      <c r="H17" s="332"/>
      <c r="I17" s="332"/>
      <c r="J17" s="332"/>
      <c r="K17" s="333"/>
      <c r="R17" t="s">
        <v>79</v>
      </c>
    </row>
    <row r="18" spans="1:22" ht="19.8" customHeight="1" x14ac:dyDescent="0.3">
      <c r="A18" s="314"/>
      <c r="B18" s="315"/>
      <c r="C18" s="316"/>
      <c r="D18" s="197" t="s">
        <v>26</v>
      </c>
      <c r="E18" s="177"/>
      <c r="F18" s="334"/>
      <c r="G18" s="334"/>
      <c r="H18" s="334"/>
      <c r="I18" s="334"/>
      <c r="J18" s="334"/>
      <c r="K18" s="335"/>
    </row>
    <row r="19" spans="1:22" ht="19.8" customHeight="1" x14ac:dyDescent="0.3">
      <c r="A19" s="314"/>
      <c r="B19" s="315"/>
      <c r="C19" s="316"/>
      <c r="D19" s="197" t="s">
        <v>27</v>
      </c>
      <c r="E19" s="177"/>
      <c r="F19" s="177"/>
      <c r="G19" s="177"/>
      <c r="H19" s="177"/>
      <c r="I19" s="179"/>
      <c r="J19" s="177"/>
      <c r="K19" s="180"/>
      <c r="V19" t="s">
        <v>78</v>
      </c>
    </row>
    <row r="20" spans="1:22" ht="21" customHeight="1" x14ac:dyDescent="0.3">
      <c r="A20" s="317"/>
      <c r="B20" s="318"/>
      <c r="C20" s="319"/>
      <c r="D20" s="198" t="s">
        <v>3</v>
      </c>
      <c r="E20" s="293"/>
      <c r="F20" s="293"/>
      <c r="G20" s="293"/>
      <c r="H20" s="293"/>
      <c r="I20" s="293"/>
      <c r="J20" s="293"/>
      <c r="K20" s="351"/>
      <c r="V20" t="s">
        <v>79</v>
      </c>
    </row>
    <row r="21" spans="1:22" x14ac:dyDescent="0.3">
      <c r="A21" s="301" t="s">
        <v>4</v>
      </c>
      <c r="B21" s="302"/>
      <c r="C21" s="303"/>
      <c r="D21" s="336"/>
      <c r="E21" s="337"/>
      <c r="F21" s="337"/>
      <c r="G21" s="337"/>
      <c r="H21" s="337"/>
      <c r="I21" s="337"/>
      <c r="J21" s="337"/>
      <c r="K21" s="338"/>
    </row>
    <row r="22" spans="1:22" x14ac:dyDescent="0.3">
      <c r="A22" s="301" t="s">
        <v>5</v>
      </c>
      <c r="B22" s="302"/>
      <c r="C22" s="303"/>
      <c r="D22" s="320"/>
      <c r="E22" s="321"/>
      <c r="F22" s="321"/>
      <c r="G22" s="321"/>
      <c r="H22" s="321"/>
      <c r="I22" s="321"/>
      <c r="J22" s="321"/>
      <c r="K22" s="322"/>
    </row>
    <row r="23" spans="1:22" x14ac:dyDescent="0.3">
      <c r="A23" s="301" t="s">
        <v>6</v>
      </c>
      <c r="B23" s="302"/>
      <c r="C23" s="303"/>
      <c r="D23" s="320"/>
      <c r="E23" s="321"/>
      <c r="F23" s="321"/>
      <c r="G23" s="321"/>
      <c r="H23" s="321"/>
      <c r="I23" s="321"/>
      <c r="J23" s="321"/>
      <c r="K23" s="322"/>
    </row>
    <row r="24" spans="1:22" x14ac:dyDescent="0.3">
      <c r="A24" s="361" t="s">
        <v>243</v>
      </c>
      <c r="B24" s="312"/>
      <c r="C24" s="313"/>
      <c r="D24" s="164" t="s">
        <v>244</v>
      </c>
      <c r="E24" s="164" t="s">
        <v>245</v>
      </c>
      <c r="F24" s="164" t="s">
        <v>246</v>
      </c>
      <c r="G24" s="362" t="s">
        <v>247</v>
      </c>
      <c r="H24" s="363"/>
      <c r="I24" s="164" t="s">
        <v>248</v>
      </c>
      <c r="J24" s="362" t="s">
        <v>249</v>
      </c>
      <c r="K24" s="363"/>
    </row>
    <row r="25" spans="1:22" x14ac:dyDescent="0.3">
      <c r="A25" s="317"/>
      <c r="B25" s="318"/>
      <c r="C25" s="319"/>
      <c r="D25" s="248"/>
      <c r="E25" s="248"/>
      <c r="F25" s="248"/>
      <c r="G25" s="364"/>
      <c r="H25" s="365"/>
      <c r="I25" s="248"/>
      <c r="J25" s="364"/>
      <c r="K25" s="365"/>
    </row>
    <row r="26" spans="1:22" ht="23.55" customHeight="1" x14ac:dyDescent="0.3">
      <c r="A26" s="276" t="s">
        <v>346</v>
      </c>
      <c r="B26" s="277"/>
      <c r="C26" s="278"/>
      <c r="D26" s="366" t="s">
        <v>302</v>
      </c>
      <c r="E26" s="367"/>
      <c r="F26" s="368"/>
      <c r="G26" s="285" t="s">
        <v>300</v>
      </c>
      <c r="H26" s="286"/>
      <c r="I26" s="287" t="s">
        <v>7</v>
      </c>
      <c r="J26" s="288"/>
      <c r="K26" s="289"/>
    </row>
    <row r="27" spans="1:22" x14ac:dyDescent="0.3">
      <c r="A27" s="279" t="s">
        <v>347</v>
      </c>
      <c r="B27" s="280"/>
      <c r="C27" s="281"/>
      <c r="D27" s="295"/>
      <c r="E27" s="296"/>
      <c r="F27" s="297"/>
      <c r="G27" s="290"/>
      <c r="H27" s="291"/>
      <c r="I27" s="273"/>
      <c r="J27" s="274"/>
      <c r="K27" s="275"/>
      <c r="O27" s="9">
        <f>IF(D27="",0,1)</f>
        <v>0</v>
      </c>
      <c r="P27" s="9" t="str">
        <f>IF(O27&gt;0,"No","")</f>
        <v/>
      </c>
      <c r="Q27" s="9" t="str">
        <f>IF(O27&gt;0,D27,"")</f>
        <v/>
      </c>
    </row>
    <row r="28" spans="1:22" x14ac:dyDescent="0.3">
      <c r="A28" s="279"/>
      <c r="B28" s="280"/>
      <c r="C28" s="281"/>
      <c r="D28" s="295"/>
      <c r="E28" s="296"/>
      <c r="F28" s="297"/>
      <c r="G28" s="290"/>
      <c r="H28" s="291"/>
      <c r="I28" s="273"/>
      <c r="J28" s="274"/>
      <c r="K28" s="275"/>
      <c r="L28" s="202"/>
      <c r="O28" s="9">
        <f>IF(D28="",0,1+O27)</f>
        <v>0</v>
      </c>
      <c r="P28" s="201" t="str">
        <f t="shared" ref="P28:P30" si="0">IF(O28&gt;0,"No","")</f>
        <v/>
      </c>
      <c r="Q28" s="201" t="str">
        <f t="shared" ref="Q28:Q35" si="1">IF(O28&gt;0,D28,"")</f>
        <v/>
      </c>
    </row>
    <row r="29" spans="1:22" x14ac:dyDescent="0.3">
      <c r="A29" s="279"/>
      <c r="B29" s="280"/>
      <c r="C29" s="281"/>
      <c r="D29" s="295"/>
      <c r="E29" s="296"/>
      <c r="F29" s="297"/>
      <c r="G29" s="290"/>
      <c r="H29" s="291"/>
      <c r="I29" s="273"/>
      <c r="J29" s="274"/>
      <c r="K29" s="275"/>
      <c r="O29" s="201">
        <f>IF(D29="",0,1+(MAX(O27:O28)))</f>
        <v>0</v>
      </c>
      <c r="P29" s="201" t="str">
        <f t="shared" si="0"/>
        <v/>
      </c>
      <c r="Q29" s="201" t="str">
        <f t="shared" si="1"/>
        <v/>
      </c>
    </row>
    <row r="30" spans="1:22" x14ac:dyDescent="0.3">
      <c r="A30" s="279"/>
      <c r="B30" s="280"/>
      <c r="C30" s="281"/>
      <c r="D30" s="295"/>
      <c r="E30" s="296"/>
      <c r="F30" s="297"/>
      <c r="G30" s="290"/>
      <c r="H30" s="291"/>
      <c r="I30" s="273"/>
      <c r="J30" s="274"/>
      <c r="K30" s="275"/>
      <c r="O30" s="201">
        <f>IF(D30="",0,1+(MAX(O27:O29)))</f>
        <v>0</v>
      </c>
      <c r="P30" s="201" t="str">
        <f t="shared" si="0"/>
        <v/>
      </c>
      <c r="Q30" s="201" t="str">
        <f t="shared" si="1"/>
        <v/>
      </c>
    </row>
    <row r="31" spans="1:22" x14ac:dyDescent="0.3">
      <c r="A31" s="279"/>
      <c r="B31" s="280"/>
      <c r="C31" s="281"/>
      <c r="D31" s="292"/>
      <c r="E31" s="293"/>
      <c r="F31" s="294"/>
      <c r="G31" s="290"/>
      <c r="H31" s="291"/>
      <c r="I31" s="273"/>
      <c r="J31" s="274"/>
      <c r="K31" s="275"/>
      <c r="O31" s="201">
        <f>IF(D31="",0,1+(MAX(O27:O30)))</f>
        <v>0</v>
      </c>
      <c r="P31" s="201" t="str">
        <f>IF(O31&gt;0,"Yes","")</f>
        <v/>
      </c>
      <c r="Q31" s="201" t="str">
        <f t="shared" si="1"/>
        <v/>
      </c>
    </row>
    <row r="32" spans="1:22" x14ac:dyDescent="0.3">
      <c r="A32" s="279"/>
      <c r="B32" s="280"/>
      <c r="C32" s="281"/>
      <c r="D32" s="295"/>
      <c r="E32" s="296"/>
      <c r="F32" s="297"/>
      <c r="G32" s="290"/>
      <c r="H32" s="291"/>
      <c r="I32" s="273"/>
      <c r="J32" s="274"/>
      <c r="K32" s="275"/>
      <c r="O32" s="201">
        <f>IF(D32="",0,1+(MAX(O27:O31)))</f>
        <v>0</v>
      </c>
      <c r="P32" s="201" t="str">
        <f t="shared" ref="P32:P35" si="2">IF(O32&gt;0,"Yes","")</f>
        <v/>
      </c>
      <c r="Q32" s="201" t="str">
        <f t="shared" si="1"/>
        <v/>
      </c>
    </row>
    <row r="33" spans="1:17" x14ac:dyDescent="0.3">
      <c r="A33" s="279"/>
      <c r="B33" s="280"/>
      <c r="C33" s="281"/>
      <c r="D33" s="295"/>
      <c r="E33" s="296"/>
      <c r="F33" s="297"/>
      <c r="G33" s="290"/>
      <c r="H33" s="291"/>
      <c r="I33" s="273"/>
      <c r="J33" s="274"/>
      <c r="K33" s="275"/>
      <c r="O33" s="201">
        <f>IF(D33="",0,1+(MAX(O27:O32)))</f>
        <v>0</v>
      </c>
      <c r="P33" s="201" t="str">
        <f t="shared" si="2"/>
        <v/>
      </c>
      <c r="Q33" s="201" t="str">
        <f t="shared" si="1"/>
        <v/>
      </c>
    </row>
    <row r="34" spans="1:17" x14ac:dyDescent="0.3">
      <c r="A34" s="279"/>
      <c r="B34" s="280"/>
      <c r="C34" s="281"/>
      <c r="D34" s="295"/>
      <c r="E34" s="296"/>
      <c r="F34" s="297"/>
      <c r="G34" s="290"/>
      <c r="H34" s="291"/>
      <c r="I34" s="273"/>
      <c r="J34" s="274"/>
      <c r="K34" s="275"/>
      <c r="O34" s="201">
        <f>IF(D34="",0,1+(MAX(O27:O33)))</f>
        <v>0</v>
      </c>
      <c r="P34" s="201" t="str">
        <f t="shared" si="2"/>
        <v/>
      </c>
      <c r="Q34" s="201" t="str">
        <f t="shared" si="1"/>
        <v/>
      </c>
    </row>
    <row r="35" spans="1:17" x14ac:dyDescent="0.3">
      <c r="A35" s="282"/>
      <c r="B35" s="283"/>
      <c r="C35" s="284"/>
      <c r="D35" s="295"/>
      <c r="E35" s="296"/>
      <c r="F35" s="297"/>
      <c r="G35" s="290"/>
      <c r="H35" s="291"/>
      <c r="I35" s="273"/>
      <c r="J35" s="274"/>
      <c r="K35" s="275"/>
      <c r="O35" s="201">
        <f>IF(D35="",0,1+(MAX(O27:O34)))</f>
        <v>0</v>
      </c>
      <c r="P35" s="201" t="str">
        <f t="shared" si="2"/>
        <v/>
      </c>
      <c r="Q35" s="201" t="str">
        <f t="shared" si="1"/>
        <v/>
      </c>
    </row>
    <row r="36" spans="1:17" ht="43.2" customHeight="1" x14ac:dyDescent="0.3">
      <c r="A36" s="298" t="s">
        <v>303</v>
      </c>
      <c r="B36" s="299"/>
      <c r="C36" s="300"/>
      <c r="D36" s="203"/>
      <c r="E36" s="369" t="str">
        <f>IF(D36="Yes","Please describe in as much detail as possible on the Services &amp; Meds tab under the Compunding section.","")</f>
        <v/>
      </c>
      <c r="F36" s="370"/>
      <c r="G36" s="370"/>
      <c r="H36" s="370"/>
      <c r="I36" s="370"/>
      <c r="J36" s="370"/>
      <c r="K36" s="371"/>
      <c r="L36" s="202"/>
    </row>
    <row r="37" spans="1:17" ht="43.2" customHeight="1" x14ac:dyDescent="0.3">
      <c r="A37" s="301" t="s">
        <v>312</v>
      </c>
      <c r="B37" s="302"/>
      <c r="C37" s="303"/>
      <c r="D37" s="339"/>
      <c r="E37" s="340"/>
      <c r="F37" s="340"/>
      <c r="G37" s="340"/>
      <c r="H37" s="340"/>
      <c r="I37" s="340"/>
      <c r="J37" s="340"/>
      <c r="K37" s="341"/>
    </row>
    <row r="38" spans="1:17" x14ac:dyDescent="0.3">
      <c r="A38" s="342" t="s">
        <v>8</v>
      </c>
      <c r="B38" s="343"/>
      <c r="C38" s="344"/>
      <c r="D38" s="181" t="s">
        <v>213</v>
      </c>
      <c r="E38" s="10"/>
      <c r="F38" s="182"/>
      <c r="G38" s="182"/>
      <c r="H38" s="182"/>
      <c r="I38" s="182"/>
      <c r="J38" s="182"/>
      <c r="K38" s="183"/>
    </row>
    <row r="39" spans="1:17" x14ac:dyDescent="0.3">
      <c r="A39" s="345"/>
      <c r="B39" s="346"/>
      <c r="C39" s="347"/>
      <c r="D39" s="184" t="s">
        <v>207</v>
      </c>
      <c r="E39" s="185"/>
      <c r="F39" s="186"/>
      <c r="G39" s="186"/>
      <c r="H39" s="186"/>
      <c r="I39" s="186"/>
      <c r="J39" s="186"/>
      <c r="K39" s="187"/>
    </row>
    <row r="40" spans="1:17" x14ac:dyDescent="0.3">
      <c r="A40" s="345"/>
      <c r="B40" s="346"/>
      <c r="C40" s="347"/>
      <c r="D40" s="184" t="s">
        <v>212</v>
      </c>
      <c r="E40" s="185"/>
      <c r="F40" s="186"/>
      <c r="G40" s="186"/>
      <c r="H40" s="186"/>
      <c r="I40" s="186"/>
      <c r="J40" s="186"/>
      <c r="K40" s="187"/>
    </row>
    <row r="41" spans="1:17" x14ac:dyDescent="0.3">
      <c r="A41" s="345"/>
      <c r="B41" s="346"/>
      <c r="C41" s="347"/>
      <c r="D41" s="184" t="s">
        <v>214</v>
      </c>
      <c r="E41" s="185"/>
      <c r="F41" s="186"/>
      <c r="G41" s="186"/>
      <c r="H41" s="186"/>
      <c r="I41" s="186"/>
      <c r="J41" s="186"/>
      <c r="K41" s="187"/>
    </row>
    <row r="42" spans="1:17" x14ac:dyDescent="0.3">
      <c r="A42" s="345"/>
      <c r="B42" s="346"/>
      <c r="C42" s="347"/>
      <c r="D42" s="184" t="s">
        <v>215</v>
      </c>
      <c r="E42" s="185"/>
      <c r="F42" s="186"/>
      <c r="G42" s="186"/>
      <c r="H42" s="186"/>
      <c r="I42" s="186"/>
      <c r="J42" s="186"/>
      <c r="K42" s="187"/>
    </row>
    <row r="43" spans="1:17" ht="15" thickBot="1" x14ac:dyDescent="0.35">
      <c r="A43" s="345"/>
      <c r="B43" s="346"/>
      <c r="C43" s="347"/>
      <c r="D43" s="184" t="s">
        <v>216</v>
      </c>
      <c r="E43" s="185"/>
      <c r="F43" s="186"/>
      <c r="G43" s="186"/>
      <c r="H43" s="186"/>
      <c r="I43" s="186"/>
      <c r="J43" s="186"/>
      <c r="K43" s="187"/>
    </row>
    <row r="44" spans="1:17" x14ac:dyDescent="0.3">
      <c r="A44" s="345"/>
      <c r="B44" s="346"/>
      <c r="C44" s="347"/>
      <c r="D44" s="184" t="s">
        <v>217</v>
      </c>
      <c r="E44" s="188"/>
      <c r="F44" s="352"/>
      <c r="G44" s="353"/>
      <c r="H44" s="353"/>
      <c r="I44" s="353"/>
      <c r="J44" s="353"/>
      <c r="K44" s="354"/>
    </row>
    <row r="45" spans="1:17" x14ac:dyDescent="0.3">
      <c r="A45" s="345"/>
      <c r="B45" s="346"/>
      <c r="C45" s="347"/>
      <c r="D45" s="184"/>
      <c r="E45" s="189"/>
      <c r="F45" s="355"/>
      <c r="G45" s="356"/>
      <c r="H45" s="356"/>
      <c r="I45" s="356"/>
      <c r="J45" s="356"/>
      <c r="K45" s="357"/>
    </row>
    <row r="46" spans="1:17" ht="15" thickBot="1" x14ac:dyDescent="0.35">
      <c r="A46" s="348"/>
      <c r="B46" s="349"/>
      <c r="C46" s="350"/>
      <c r="D46" s="190"/>
      <c r="E46" s="191"/>
      <c r="F46" s="358"/>
      <c r="G46" s="359"/>
      <c r="H46" s="359"/>
      <c r="I46" s="359"/>
      <c r="J46" s="359"/>
      <c r="K46" s="360"/>
      <c r="L46" s="12"/>
    </row>
    <row r="47" spans="1:17" x14ac:dyDescent="0.3">
      <c r="A47" s="7"/>
      <c r="B47" s="7"/>
      <c r="C47" s="7"/>
      <c r="D47" s="7"/>
      <c r="E47" s="7"/>
      <c r="F47" s="7"/>
      <c r="G47" s="7"/>
      <c r="H47" s="7"/>
      <c r="I47" s="7"/>
      <c r="J47" s="7"/>
      <c r="K47" s="7"/>
      <c r="L47" s="7"/>
      <c r="M47" s="7"/>
    </row>
    <row r="48" spans="1:17" x14ac:dyDescent="0.3">
      <c r="A48" s="7"/>
      <c r="B48" s="7"/>
      <c r="C48" s="7"/>
      <c r="D48" s="7"/>
      <c r="E48" s="7"/>
      <c r="F48" s="7"/>
      <c r="G48" s="7"/>
      <c r="H48" s="7"/>
      <c r="I48" s="7"/>
      <c r="J48" s="7"/>
      <c r="K48" s="7"/>
      <c r="L48" s="7"/>
      <c r="M48" s="7"/>
    </row>
    <row r="49" spans="1:13" x14ac:dyDescent="0.3">
      <c r="A49" s="7"/>
      <c r="B49" s="7"/>
      <c r="C49" s="7"/>
      <c r="D49" s="7"/>
      <c r="E49" s="7"/>
      <c r="F49" s="7"/>
      <c r="G49" s="7"/>
      <c r="H49" s="7"/>
      <c r="I49" s="7"/>
      <c r="J49" s="7"/>
      <c r="K49" s="7"/>
      <c r="L49" s="7"/>
      <c r="M49" s="7"/>
    </row>
    <row r="50" spans="1:13" x14ac:dyDescent="0.3">
      <c r="A50" s="7"/>
      <c r="B50" s="7"/>
      <c r="C50" s="7"/>
      <c r="D50" s="7"/>
      <c r="E50" s="7"/>
      <c r="F50" s="7"/>
      <c r="G50" s="7"/>
      <c r="H50" s="7"/>
      <c r="I50" s="7"/>
      <c r="J50" s="7"/>
      <c r="K50" s="7"/>
      <c r="L50" s="7"/>
      <c r="M50" s="7"/>
    </row>
    <row r="51" spans="1:13" x14ac:dyDescent="0.3">
      <c r="A51" s="7"/>
      <c r="B51" s="7"/>
      <c r="C51" s="7"/>
      <c r="D51" s="7"/>
      <c r="E51" s="7"/>
      <c r="F51" s="7"/>
      <c r="G51" s="7"/>
      <c r="H51" s="7"/>
      <c r="I51" s="7"/>
      <c r="J51" s="7"/>
      <c r="K51" s="7"/>
      <c r="L51" s="7"/>
      <c r="M51" s="7"/>
    </row>
    <row r="52" spans="1:13" x14ac:dyDescent="0.3">
      <c r="A52" s="7"/>
      <c r="B52" s="7"/>
      <c r="C52" s="7"/>
      <c r="D52" s="7"/>
      <c r="E52" s="7"/>
      <c r="F52" s="7"/>
      <c r="G52" s="7"/>
      <c r="H52" s="7"/>
      <c r="I52" s="7"/>
      <c r="J52" s="7"/>
      <c r="K52" s="7"/>
      <c r="L52" s="7"/>
      <c r="M52" s="7"/>
    </row>
    <row r="53" spans="1:13" x14ac:dyDescent="0.3">
      <c r="A53" s="7"/>
      <c r="B53" s="7"/>
      <c r="C53" s="7"/>
      <c r="D53" s="7"/>
      <c r="E53" s="7"/>
      <c r="F53" s="7"/>
      <c r="G53" s="7"/>
      <c r="H53" s="7"/>
      <c r="I53" s="7"/>
      <c r="J53" s="7"/>
      <c r="K53" s="7"/>
      <c r="L53" s="7"/>
      <c r="M53" s="7"/>
    </row>
    <row r="54" spans="1:13" x14ac:dyDescent="0.3">
      <c r="A54" s="7"/>
      <c r="B54" s="7"/>
      <c r="C54" s="7"/>
      <c r="D54" s="7"/>
      <c r="E54" s="7"/>
      <c r="F54" s="7"/>
      <c r="G54" s="7"/>
      <c r="H54" s="7"/>
      <c r="I54" s="7"/>
      <c r="J54" s="7"/>
      <c r="K54" s="7"/>
      <c r="L54" s="7"/>
      <c r="M54" s="7"/>
    </row>
    <row r="55" spans="1:13" x14ac:dyDescent="0.3">
      <c r="A55" s="7"/>
      <c r="B55" s="7"/>
      <c r="C55" s="7"/>
      <c r="D55" s="7"/>
      <c r="E55" s="7"/>
      <c r="F55" s="7"/>
      <c r="G55" s="7"/>
      <c r="H55" s="7"/>
      <c r="I55" s="7"/>
      <c r="J55" s="7"/>
      <c r="K55" s="7"/>
      <c r="L55" s="7"/>
      <c r="M55" s="7"/>
    </row>
    <row r="56" spans="1:13" x14ac:dyDescent="0.3">
      <c r="A56" s="7"/>
      <c r="B56" s="7"/>
      <c r="C56" s="7"/>
      <c r="D56" s="7"/>
      <c r="E56" s="7"/>
      <c r="F56" s="7"/>
      <c r="G56" s="7"/>
      <c r="H56" s="7"/>
      <c r="I56" s="7"/>
      <c r="J56" s="7"/>
      <c r="K56" s="7"/>
      <c r="L56" s="7"/>
      <c r="M56" s="7"/>
    </row>
    <row r="57" spans="1:13" x14ac:dyDescent="0.3">
      <c r="A57" s="7"/>
      <c r="B57" s="7"/>
      <c r="C57" s="7"/>
      <c r="D57" s="7"/>
      <c r="E57" s="7"/>
      <c r="F57" s="7"/>
      <c r="G57" s="7"/>
      <c r="H57" s="7"/>
      <c r="I57" s="7"/>
      <c r="J57" s="7"/>
      <c r="K57" s="7"/>
      <c r="L57" s="7"/>
      <c r="M57" s="7"/>
    </row>
    <row r="58" spans="1:13" x14ac:dyDescent="0.3">
      <c r="A58" s="7"/>
      <c r="B58" s="7"/>
      <c r="C58" s="7"/>
      <c r="D58" s="7"/>
      <c r="E58" s="7"/>
      <c r="F58" s="7"/>
      <c r="G58" s="7"/>
      <c r="H58" s="7"/>
      <c r="I58" s="7"/>
      <c r="J58" s="7"/>
      <c r="K58" s="7"/>
      <c r="L58" s="7"/>
      <c r="M58" s="7"/>
    </row>
    <row r="59" spans="1:13" x14ac:dyDescent="0.3">
      <c r="A59" s="7"/>
      <c r="B59" s="7"/>
      <c r="C59" s="7"/>
      <c r="D59" s="7"/>
      <c r="E59" s="7"/>
      <c r="F59" s="7"/>
      <c r="G59" s="7"/>
      <c r="H59" s="7"/>
      <c r="I59" s="7"/>
      <c r="J59" s="7"/>
      <c r="K59" s="7"/>
      <c r="L59" s="7"/>
      <c r="M59" s="7"/>
    </row>
    <row r="60" spans="1:13" x14ac:dyDescent="0.3">
      <c r="A60" s="7"/>
      <c r="B60" s="7"/>
      <c r="C60" s="7"/>
      <c r="D60" s="7"/>
      <c r="E60" s="7"/>
      <c r="F60" s="7"/>
      <c r="G60" s="7"/>
      <c r="H60" s="7"/>
      <c r="I60" s="7"/>
      <c r="J60" s="7"/>
      <c r="K60" s="7"/>
      <c r="L60" s="7"/>
      <c r="M60" s="7"/>
    </row>
  </sheetData>
  <sheetProtection algorithmName="SHA-512" hashValue="SaaSnilo62UKgz7wwx7cz9hv0SP21p/Cnho0JShoTlP9iW0AuIXYm7WKEPfqJo5JmSH3Wi5l4m3o5T4/C+ahsA==" saltValue="FRHwjqK4CtzJK5VQjzHUAA==" spinCount="100000" sheet="1" selectLockedCells="1"/>
  <mergeCells count="67">
    <mergeCell ref="G33:H33"/>
    <mergeCell ref="G34:H34"/>
    <mergeCell ref="G35:H35"/>
    <mergeCell ref="A23:C23"/>
    <mergeCell ref="D37:K37"/>
    <mergeCell ref="A38:C46"/>
    <mergeCell ref="E20:K20"/>
    <mergeCell ref="F44:K46"/>
    <mergeCell ref="A24:C25"/>
    <mergeCell ref="G24:H24"/>
    <mergeCell ref="G25:H25"/>
    <mergeCell ref="J24:K24"/>
    <mergeCell ref="J25:K25"/>
    <mergeCell ref="D26:F26"/>
    <mergeCell ref="D34:F34"/>
    <mergeCell ref="D35:F35"/>
    <mergeCell ref="D28:F28"/>
    <mergeCell ref="D29:F29"/>
    <mergeCell ref="D30:F30"/>
    <mergeCell ref="E36:K36"/>
    <mergeCell ref="A7:K7"/>
    <mergeCell ref="H17:K17"/>
    <mergeCell ref="F18:K18"/>
    <mergeCell ref="D21:K21"/>
    <mergeCell ref="D22:K22"/>
    <mergeCell ref="A1:K1"/>
    <mergeCell ref="A2:K2"/>
    <mergeCell ref="A3:K3"/>
    <mergeCell ref="A4:K4"/>
    <mergeCell ref="A5:K5"/>
    <mergeCell ref="A36:C36"/>
    <mergeCell ref="A37:C37"/>
    <mergeCell ref="B8:K8"/>
    <mergeCell ref="H9:K9"/>
    <mergeCell ref="C10:K10"/>
    <mergeCell ref="B9:E9"/>
    <mergeCell ref="A11:K12"/>
    <mergeCell ref="F9:G9"/>
    <mergeCell ref="E16:H16"/>
    <mergeCell ref="A17:C20"/>
    <mergeCell ref="A16:C16"/>
    <mergeCell ref="A21:C21"/>
    <mergeCell ref="A22:C22"/>
    <mergeCell ref="D23:K23"/>
    <mergeCell ref="D27:F27"/>
    <mergeCell ref="I32:K32"/>
    <mergeCell ref="I34:K34"/>
    <mergeCell ref="I35:K35"/>
    <mergeCell ref="A26:C26"/>
    <mergeCell ref="A27:C35"/>
    <mergeCell ref="G26:H26"/>
    <mergeCell ref="I26:K26"/>
    <mergeCell ref="G27:H27"/>
    <mergeCell ref="G28:H28"/>
    <mergeCell ref="G29:H29"/>
    <mergeCell ref="G30:H30"/>
    <mergeCell ref="D31:F31"/>
    <mergeCell ref="D32:F32"/>
    <mergeCell ref="D33:F33"/>
    <mergeCell ref="G31:H31"/>
    <mergeCell ref="I27:K27"/>
    <mergeCell ref="G32:H32"/>
    <mergeCell ref="I28:K28"/>
    <mergeCell ref="I29:K29"/>
    <mergeCell ref="I30:K30"/>
    <mergeCell ref="I31:K31"/>
    <mergeCell ref="I33:K33"/>
  </mergeCells>
  <dataValidations count="5">
    <dataValidation type="date" allowBlank="1" showInputMessage="1" showErrorMessage="1" error="Please enter date value m/d/yyyy" sqref="K16 K19" xr:uid="{00000000-0002-0000-0100-000000000000}">
      <formula1>1</formula1>
      <formula2>402133</formula2>
    </dataValidation>
    <dataValidation type="date" allowBlank="1" showInputMessage="1" showErrorMessage="1" error="Please enter date value m/d/yyyy" sqref="I16 I19" xr:uid="{00000000-0002-0000-0100-000001000000}">
      <formula1>43466</formula1>
      <formula2>55153</formula2>
    </dataValidation>
    <dataValidation type="whole" allowBlank="1" showInputMessage="1" showErrorMessage="1" error="Please enter number value" sqref="D16" xr:uid="{00000000-0002-0000-0100-000002000000}">
      <formula1>1</formula1>
      <formula2>111111111</formula2>
    </dataValidation>
    <dataValidation type="list" allowBlank="1" showInputMessage="1" showErrorMessage="1" sqref="D36" xr:uid="{00000000-0002-0000-0100-000003000000}">
      <formula1>$V$19:$V$20</formula1>
    </dataValidation>
    <dataValidation type="list" allowBlank="1" showInputMessage="1" showErrorMessage="1" sqref="G27:H35" xr:uid="{E8CD5666-4944-49CF-A260-C345EA88BA70}">
      <formula1>$R$16:$R$17</formula1>
    </dataValidation>
  </dataValidations>
  <hyperlinks>
    <hyperlink ref="A6" r:id="rId1" display="www.itmat.upenn.edu/ids.shtml" xr:uid="{00000000-0004-0000-0100-000000000000}"/>
    <hyperlink ref="D6" r:id="rId2" xr:uid="{00000000-0004-0000-0100-000001000000}"/>
    <hyperlink ref="H6" r:id="rId3" xr:uid="{00000000-0004-0000-0100-000002000000}"/>
  </hyperlinks>
  <pageMargins left="0.7" right="0.7" top="0.75" bottom="0.75" header="0.3" footer="0.3"/>
  <pageSetup scale="86" orientation="portrait" r:id="rId4"/>
  <drawing r:id="rId5"/>
  <legacyDrawing r:id="rId6"/>
  <mc:AlternateContent xmlns:mc="http://schemas.openxmlformats.org/markup-compatibility/2006">
    <mc:Choice Requires="x14">
      <controls>
        <mc:AlternateContent xmlns:mc="http://schemas.openxmlformats.org/markup-compatibility/2006">
          <mc:Choice Requires="x14">
            <control shapeId="1032" r:id="rId7" name="Check Box 8">
              <controlPr defaultSize="0" autoFill="0" autoLine="0" autoPict="0" altText="HUP">
                <anchor moveWithCells="1">
                  <from>
                    <xdr:col>4</xdr:col>
                    <xdr:colOff>175260</xdr:colOff>
                    <xdr:row>16</xdr:row>
                    <xdr:rowOff>0</xdr:rowOff>
                  </from>
                  <to>
                    <xdr:col>4</xdr:col>
                    <xdr:colOff>594360</xdr:colOff>
                    <xdr:row>17</xdr:row>
                    <xdr:rowOff>0</xdr:rowOff>
                  </to>
                </anchor>
              </controlPr>
            </control>
          </mc:Choice>
        </mc:AlternateContent>
        <mc:AlternateContent xmlns:mc="http://schemas.openxmlformats.org/markup-compatibility/2006">
          <mc:Choice Requires="x14">
            <control shapeId="1034" r:id="rId8" name="Check Box 10">
              <controlPr defaultSize="0" autoFill="0" autoLine="0" autoPict="0">
                <anchor moveWithCells="1">
                  <from>
                    <xdr:col>4</xdr:col>
                    <xdr:colOff>632460</xdr:colOff>
                    <xdr:row>16</xdr:row>
                    <xdr:rowOff>22860</xdr:rowOff>
                  </from>
                  <to>
                    <xdr:col>5</xdr:col>
                    <xdr:colOff>289560</xdr:colOff>
                    <xdr:row>16</xdr:row>
                    <xdr:rowOff>228600</xdr:rowOff>
                  </to>
                </anchor>
              </controlPr>
            </control>
          </mc:Choice>
        </mc:AlternateContent>
        <mc:AlternateContent xmlns:mc="http://schemas.openxmlformats.org/markup-compatibility/2006">
          <mc:Choice Requires="x14">
            <control shapeId="1035" r:id="rId9" name="Check Box 11">
              <controlPr defaultSize="0" autoFill="0" autoLine="0" autoPict="0">
                <anchor moveWithCells="1">
                  <from>
                    <xdr:col>5</xdr:col>
                    <xdr:colOff>396240</xdr:colOff>
                    <xdr:row>16</xdr:row>
                    <xdr:rowOff>53340</xdr:rowOff>
                  </from>
                  <to>
                    <xdr:col>6</xdr:col>
                    <xdr:colOff>205740</xdr:colOff>
                    <xdr:row>16</xdr:row>
                    <xdr:rowOff>213360</xdr:rowOff>
                  </to>
                </anchor>
              </controlPr>
            </control>
          </mc:Choice>
        </mc:AlternateContent>
        <mc:AlternateContent xmlns:mc="http://schemas.openxmlformats.org/markup-compatibility/2006">
          <mc:Choice Requires="x14">
            <control shapeId="1036" r:id="rId10" name="Check Box 12">
              <controlPr defaultSize="0" autoFill="0" autoLine="0" autoPict="0" altText="HUP">
                <anchor moveWithCells="1">
                  <from>
                    <xdr:col>5</xdr:col>
                    <xdr:colOff>22860</xdr:colOff>
                    <xdr:row>18</xdr:row>
                    <xdr:rowOff>15240</xdr:rowOff>
                  </from>
                  <to>
                    <xdr:col>5</xdr:col>
                    <xdr:colOff>441960</xdr:colOff>
                    <xdr:row>19</xdr:row>
                    <xdr:rowOff>15240</xdr:rowOff>
                  </to>
                </anchor>
              </controlPr>
            </control>
          </mc:Choice>
        </mc:AlternateContent>
        <mc:AlternateContent xmlns:mc="http://schemas.openxmlformats.org/markup-compatibility/2006">
          <mc:Choice Requires="x14">
            <control shapeId="1038" r:id="rId11" name="Check Box 14">
              <controlPr defaultSize="0" autoFill="0" autoLine="0" autoPict="0" altText="HUP">
                <anchor moveWithCells="1">
                  <from>
                    <xdr:col>6</xdr:col>
                    <xdr:colOff>22860</xdr:colOff>
                    <xdr:row>18</xdr:row>
                    <xdr:rowOff>15240</xdr:rowOff>
                  </from>
                  <to>
                    <xdr:col>7</xdr:col>
                    <xdr:colOff>281940</xdr:colOff>
                    <xdr:row>19</xdr:row>
                    <xdr:rowOff>15240</xdr:rowOff>
                  </to>
                </anchor>
              </controlPr>
            </control>
          </mc:Choice>
        </mc:AlternateContent>
        <mc:AlternateContent xmlns:mc="http://schemas.openxmlformats.org/markup-compatibility/2006">
          <mc:Choice Requires="x14">
            <control shapeId="1039" r:id="rId12" name="Check Box 15">
              <controlPr defaultSize="0" autoFill="0" autoLine="0" autoPict="0" altText="HUP">
                <anchor moveWithCells="1">
                  <from>
                    <xdr:col>7</xdr:col>
                    <xdr:colOff>365760</xdr:colOff>
                    <xdr:row>18</xdr:row>
                    <xdr:rowOff>15240</xdr:rowOff>
                  </from>
                  <to>
                    <xdr:col>8</xdr:col>
                    <xdr:colOff>396240</xdr:colOff>
                    <xdr:row>19</xdr:row>
                    <xdr:rowOff>15240</xdr:rowOff>
                  </to>
                </anchor>
              </controlPr>
            </control>
          </mc:Choice>
        </mc:AlternateContent>
        <mc:AlternateContent xmlns:mc="http://schemas.openxmlformats.org/markup-compatibility/2006">
          <mc:Choice Requires="x14">
            <control shapeId="1040" r:id="rId13" name="Check Box 16">
              <controlPr defaultSize="0" autoFill="0" autoLine="0" autoPict="0" altText="HUP">
                <anchor moveWithCells="1">
                  <from>
                    <xdr:col>3</xdr:col>
                    <xdr:colOff>0</xdr:colOff>
                    <xdr:row>37</xdr:row>
                    <xdr:rowOff>0</xdr:rowOff>
                  </from>
                  <to>
                    <xdr:col>3</xdr:col>
                    <xdr:colOff>175260</xdr:colOff>
                    <xdr:row>38</xdr:row>
                    <xdr:rowOff>15240</xdr:rowOff>
                  </to>
                </anchor>
              </controlPr>
            </control>
          </mc:Choice>
        </mc:AlternateContent>
        <mc:AlternateContent xmlns:mc="http://schemas.openxmlformats.org/markup-compatibility/2006">
          <mc:Choice Requires="x14">
            <control shapeId="1041" r:id="rId14" name="Check Box 17">
              <controlPr defaultSize="0" autoFill="0" autoLine="0" autoPict="0" altText="HUP">
                <anchor moveWithCells="1">
                  <from>
                    <xdr:col>3</xdr:col>
                    <xdr:colOff>0</xdr:colOff>
                    <xdr:row>38</xdr:row>
                    <xdr:rowOff>0</xdr:rowOff>
                  </from>
                  <to>
                    <xdr:col>3</xdr:col>
                    <xdr:colOff>175260</xdr:colOff>
                    <xdr:row>39</xdr:row>
                    <xdr:rowOff>15240</xdr:rowOff>
                  </to>
                </anchor>
              </controlPr>
            </control>
          </mc:Choice>
        </mc:AlternateContent>
        <mc:AlternateContent xmlns:mc="http://schemas.openxmlformats.org/markup-compatibility/2006">
          <mc:Choice Requires="x14">
            <control shapeId="1042" r:id="rId15" name="Check Box 18">
              <controlPr defaultSize="0" autoFill="0" autoLine="0" autoPict="0" altText="HUP">
                <anchor moveWithCells="1">
                  <from>
                    <xdr:col>3</xdr:col>
                    <xdr:colOff>0</xdr:colOff>
                    <xdr:row>39</xdr:row>
                    <xdr:rowOff>15240</xdr:rowOff>
                  </from>
                  <to>
                    <xdr:col>3</xdr:col>
                    <xdr:colOff>175260</xdr:colOff>
                    <xdr:row>40</xdr:row>
                    <xdr:rowOff>22860</xdr:rowOff>
                  </to>
                </anchor>
              </controlPr>
            </control>
          </mc:Choice>
        </mc:AlternateContent>
        <mc:AlternateContent xmlns:mc="http://schemas.openxmlformats.org/markup-compatibility/2006">
          <mc:Choice Requires="x14">
            <control shapeId="1043" r:id="rId16" name="Check Box 19">
              <controlPr defaultSize="0" autoFill="0" autoLine="0" autoPict="0" altText="HUP">
                <anchor moveWithCells="1">
                  <from>
                    <xdr:col>3</xdr:col>
                    <xdr:colOff>0</xdr:colOff>
                    <xdr:row>40</xdr:row>
                    <xdr:rowOff>0</xdr:rowOff>
                  </from>
                  <to>
                    <xdr:col>3</xdr:col>
                    <xdr:colOff>175260</xdr:colOff>
                    <xdr:row>41</xdr:row>
                    <xdr:rowOff>15240</xdr:rowOff>
                  </to>
                </anchor>
              </controlPr>
            </control>
          </mc:Choice>
        </mc:AlternateContent>
        <mc:AlternateContent xmlns:mc="http://schemas.openxmlformats.org/markup-compatibility/2006">
          <mc:Choice Requires="x14">
            <control shapeId="1044" r:id="rId17" name="Check Box 20">
              <controlPr defaultSize="0" autoFill="0" autoLine="0" autoPict="0" altText="HUP">
                <anchor moveWithCells="1">
                  <from>
                    <xdr:col>3</xdr:col>
                    <xdr:colOff>0</xdr:colOff>
                    <xdr:row>40</xdr:row>
                    <xdr:rowOff>175260</xdr:rowOff>
                  </from>
                  <to>
                    <xdr:col>3</xdr:col>
                    <xdr:colOff>175260</xdr:colOff>
                    <xdr:row>42</xdr:row>
                    <xdr:rowOff>15240</xdr:rowOff>
                  </to>
                </anchor>
              </controlPr>
            </control>
          </mc:Choice>
        </mc:AlternateContent>
        <mc:AlternateContent xmlns:mc="http://schemas.openxmlformats.org/markup-compatibility/2006">
          <mc:Choice Requires="x14">
            <control shapeId="1045" r:id="rId18" name="Check Box 21">
              <controlPr defaultSize="0" autoFill="0" autoLine="0" autoPict="0" altText="HUP">
                <anchor moveWithCells="1">
                  <from>
                    <xdr:col>3</xdr:col>
                    <xdr:colOff>0</xdr:colOff>
                    <xdr:row>41</xdr:row>
                    <xdr:rowOff>167640</xdr:rowOff>
                  </from>
                  <to>
                    <xdr:col>3</xdr:col>
                    <xdr:colOff>175260</xdr:colOff>
                    <xdr:row>42</xdr:row>
                    <xdr:rowOff>175260</xdr:rowOff>
                  </to>
                </anchor>
              </controlPr>
            </control>
          </mc:Choice>
        </mc:AlternateContent>
        <mc:AlternateContent xmlns:mc="http://schemas.openxmlformats.org/markup-compatibility/2006">
          <mc:Choice Requires="x14">
            <control shapeId="1046" r:id="rId19" name="Check Box 22">
              <controlPr defaultSize="0" autoFill="0" autoLine="0" autoPict="0" altText="HUP">
                <anchor moveWithCells="1">
                  <from>
                    <xdr:col>3</xdr:col>
                    <xdr:colOff>15240</xdr:colOff>
                    <xdr:row>42</xdr:row>
                    <xdr:rowOff>167640</xdr:rowOff>
                  </from>
                  <to>
                    <xdr:col>3</xdr:col>
                    <xdr:colOff>175260</xdr:colOff>
                    <xdr:row>43</xdr:row>
                    <xdr:rowOff>175260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theme="4" tint="-0.499984740745262"/>
    <pageSetUpPr fitToPage="1"/>
  </sheetPr>
  <dimension ref="A1:O56"/>
  <sheetViews>
    <sheetView workbookViewId="0">
      <pane ySplit="2" topLeftCell="A3" activePane="bottomLeft" state="frozen"/>
      <selection pane="bottomLeft" activeCell="B3" sqref="B3:B7"/>
    </sheetView>
  </sheetViews>
  <sheetFormatPr defaultColWidth="9.109375" defaultRowHeight="14.4" x14ac:dyDescent="0.3"/>
  <cols>
    <col min="1" max="1" width="51.109375" style="14" customWidth="1"/>
    <col min="2" max="2" width="23.44140625" style="24" customWidth="1"/>
    <col min="3" max="3" width="21.44140625" style="16" hidden="1" customWidth="1"/>
    <col min="4" max="4" width="60" style="14" customWidth="1"/>
    <col min="5" max="11" width="9.109375" style="13" hidden="1" customWidth="1"/>
    <col min="12" max="12" width="11.6640625" style="13" hidden="1" customWidth="1"/>
    <col min="13" max="13" width="10.44140625" style="13" hidden="1" customWidth="1"/>
    <col min="14" max="15" width="9.109375" style="13" hidden="1" customWidth="1"/>
    <col min="16" max="21" width="9.109375" style="13" customWidth="1"/>
    <col min="22" max="16384" width="9.109375" style="13"/>
  </cols>
  <sheetData>
    <row r="1" spans="1:13" ht="24" customHeight="1" x14ac:dyDescent="0.3">
      <c r="A1" s="372" t="s">
        <v>301</v>
      </c>
      <c r="B1" s="373"/>
      <c r="C1" s="373"/>
      <c r="D1" s="374"/>
      <c r="G1" s="13" t="s">
        <v>78</v>
      </c>
      <c r="I1" s="13">
        <v>1</v>
      </c>
      <c r="L1" s="13" t="s">
        <v>314</v>
      </c>
      <c r="M1" s="264">
        <f>C55</f>
        <v>336.12012000000004</v>
      </c>
    </row>
    <row r="2" spans="1:13" ht="48" customHeight="1" thickBot="1" x14ac:dyDescent="0.35">
      <c r="A2" s="105" t="s">
        <v>31</v>
      </c>
      <c r="B2" s="135" t="s">
        <v>80</v>
      </c>
      <c r="C2" s="100" t="s">
        <v>32</v>
      </c>
      <c r="D2" s="106" t="s">
        <v>30</v>
      </c>
      <c r="G2" s="13" t="s">
        <v>79</v>
      </c>
      <c r="I2" s="13">
        <v>0</v>
      </c>
      <c r="L2" s="13" t="s">
        <v>315</v>
      </c>
      <c r="M2" s="264">
        <f>M1*1.35</f>
        <v>453.7621620000001</v>
      </c>
    </row>
    <row r="3" spans="1:13" ht="14.55" customHeight="1" x14ac:dyDescent="0.3">
      <c r="A3" s="383" t="s">
        <v>33</v>
      </c>
      <c r="B3" s="386"/>
      <c r="C3" s="389">
        <f>B50*B3</f>
        <v>0</v>
      </c>
      <c r="D3" s="95" t="s">
        <v>84</v>
      </c>
      <c r="L3" s="13" t="s">
        <v>316</v>
      </c>
      <c r="M3" s="264">
        <f>M2*1.35</f>
        <v>612.57891870000014</v>
      </c>
    </row>
    <row r="4" spans="1:13" x14ac:dyDescent="0.3">
      <c r="A4" s="384"/>
      <c r="B4" s="387"/>
      <c r="C4" s="390"/>
      <c r="D4" s="95" t="s">
        <v>85</v>
      </c>
    </row>
    <row r="5" spans="1:13" x14ac:dyDescent="0.3">
      <c r="A5" s="384"/>
      <c r="B5" s="387"/>
      <c r="C5" s="390"/>
      <c r="D5" s="95" t="s">
        <v>86</v>
      </c>
    </row>
    <row r="6" spans="1:13" x14ac:dyDescent="0.3">
      <c r="A6" s="384"/>
      <c r="B6" s="387"/>
      <c r="C6" s="390"/>
      <c r="D6" s="95" t="s">
        <v>87</v>
      </c>
    </row>
    <row r="7" spans="1:13" x14ac:dyDescent="0.3">
      <c r="A7" s="385"/>
      <c r="B7" s="388"/>
      <c r="C7" s="391"/>
      <c r="D7" s="96" t="s">
        <v>88</v>
      </c>
    </row>
    <row r="8" spans="1:13" ht="15.75" customHeight="1" x14ac:dyDescent="0.3">
      <c r="A8" s="392" t="s">
        <v>34</v>
      </c>
      <c r="B8" s="393"/>
      <c r="C8" s="394">
        <f>2*B50*B8</f>
        <v>0</v>
      </c>
      <c r="D8" s="95" t="s">
        <v>84</v>
      </c>
    </row>
    <row r="9" spans="1:13" x14ac:dyDescent="0.3">
      <c r="A9" s="384"/>
      <c r="B9" s="387"/>
      <c r="C9" s="395"/>
      <c r="D9" s="95" t="s">
        <v>85</v>
      </c>
    </row>
    <row r="10" spans="1:13" x14ac:dyDescent="0.3">
      <c r="A10" s="384"/>
      <c r="B10" s="387"/>
      <c r="C10" s="395"/>
      <c r="D10" s="95" t="s">
        <v>89</v>
      </c>
    </row>
    <row r="11" spans="1:13" x14ac:dyDescent="0.3">
      <c r="A11" s="384"/>
      <c r="B11" s="387"/>
      <c r="C11" s="395"/>
      <c r="D11" s="95" t="s">
        <v>90</v>
      </c>
    </row>
    <row r="12" spans="1:13" x14ac:dyDescent="0.3">
      <c r="A12" s="385"/>
      <c r="B12" s="388"/>
      <c r="C12" s="396"/>
      <c r="D12" s="96" t="s">
        <v>91</v>
      </c>
    </row>
    <row r="13" spans="1:13" hidden="1" x14ac:dyDescent="0.3">
      <c r="A13" s="93" t="s">
        <v>35</v>
      </c>
      <c r="B13" s="165">
        <v>3</v>
      </c>
      <c r="C13" s="30">
        <f>SUM((B50*0.083*7)+(B51*0.083*7))*B13</f>
        <v>336.12012000000004</v>
      </c>
      <c r="D13" s="97" t="s">
        <v>92</v>
      </c>
    </row>
    <row r="14" spans="1:13" x14ac:dyDescent="0.3">
      <c r="A14" s="93" t="s">
        <v>36</v>
      </c>
      <c r="B14" s="165"/>
      <c r="C14" s="30">
        <f>B50*B14</f>
        <v>0</v>
      </c>
      <c r="D14" s="97" t="s">
        <v>93</v>
      </c>
    </row>
    <row r="15" spans="1:13" x14ac:dyDescent="0.3">
      <c r="A15" s="93" t="s">
        <v>37</v>
      </c>
      <c r="B15" s="165"/>
      <c r="C15" s="30">
        <f>B50*E15*2</f>
        <v>0</v>
      </c>
      <c r="D15" s="98" t="s">
        <v>77</v>
      </c>
      <c r="E15" s="13">
        <f>IF(B15="Yes",1,0)</f>
        <v>0</v>
      </c>
    </row>
    <row r="16" spans="1:13" x14ac:dyDescent="0.3">
      <c r="A16" s="93" t="s">
        <v>38</v>
      </c>
      <c r="B16" s="165"/>
      <c r="C16" s="30">
        <f>B50*E16</f>
        <v>0</v>
      </c>
      <c r="D16" s="98" t="s">
        <v>77</v>
      </c>
      <c r="E16" s="13">
        <f t="shared" ref="E16:E19" si="0">IF(B16="Yes",1,0)</f>
        <v>0</v>
      </c>
    </row>
    <row r="17" spans="1:5" x14ac:dyDescent="0.3">
      <c r="A17" s="93" t="s">
        <v>39</v>
      </c>
      <c r="B17" s="165"/>
      <c r="C17" s="30">
        <f>B50*0.5*E17</f>
        <v>0</v>
      </c>
      <c r="D17" s="98" t="s">
        <v>77</v>
      </c>
      <c r="E17" s="13">
        <f t="shared" si="0"/>
        <v>0</v>
      </c>
    </row>
    <row r="18" spans="1:5" x14ac:dyDescent="0.3">
      <c r="A18" s="93" t="s">
        <v>40</v>
      </c>
      <c r="B18" s="165"/>
      <c r="C18" s="30">
        <v>0</v>
      </c>
      <c r="D18" s="98" t="s">
        <v>77</v>
      </c>
      <c r="E18" s="13">
        <f t="shared" si="0"/>
        <v>0</v>
      </c>
    </row>
    <row r="19" spans="1:5" x14ac:dyDescent="0.3">
      <c r="A19" s="94" t="s">
        <v>41</v>
      </c>
      <c r="B19" s="165"/>
      <c r="C19" s="30">
        <v>0</v>
      </c>
      <c r="D19" s="99" t="s">
        <v>77</v>
      </c>
      <c r="E19" s="13">
        <f t="shared" si="0"/>
        <v>0</v>
      </c>
    </row>
    <row r="20" spans="1:5" x14ac:dyDescent="0.3">
      <c r="A20" s="101"/>
      <c r="B20" s="102"/>
      <c r="C20" s="103"/>
      <c r="D20" s="104"/>
    </row>
    <row r="21" spans="1:5" ht="28.8" x14ac:dyDescent="0.3">
      <c r="A21" s="27" t="s">
        <v>42</v>
      </c>
      <c r="B21" s="165"/>
      <c r="C21" s="28">
        <f>B21*B50</f>
        <v>0</v>
      </c>
      <c r="D21" s="29" t="s">
        <v>43</v>
      </c>
    </row>
    <row r="22" spans="1:5" x14ac:dyDescent="0.3">
      <c r="A22" s="93" t="s">
        <v>44</v>
      </c>
      <c r="B22" s="165"/>
      <c r="C22" s="15">
        <f>0.5*B50*E22</f>
        <v>0</v>
      </c>
      <c r="D22" s="98" t="s">
        <v>77</v>
      </c>
      <c r="E22" s="13">
        <f t="shared" ref="E22" si="1">IF(B22="Yes",1,0)</f>
        <v>0</v>
      </c>
    </row>
    <row r="23" spans="1:5" ht="28.8" x14ac:dyDescent="0.3">
      <c r="A23" s="93" t="s">
        <v>45</v>
      </c>
      <c r="B23" s="234"/>
      <c r="C23" s="15">
        <f>0.5*B50*E23</f>
        <v>0</v>
      </c>
      <c r="D23" s="98" t="s">
        <v>77</v>
      </c>
      <c r="E23" s="13">
        <f>IF(B23="Yes",1,0)</f>
        <v>0</v>
      </c>
    </row>
    <row r="24" spans="1:5" ht="57.6" x14ac:dyDescent="0.3">
      <c r="A24" s="27" t="s">
        <v>46</v>
      </c>
      <c r="B24" s="165"/>
      <c r="C24" s="28">
        <f>B24*(B50+B51)</f>
        <v>0</v>
      </c>
      <c r="D24" s="29" t="s">
        <v>265</v>
      </c>
    </row>
    <row r="25" spans="1:5" ht="43.2" x14ac:dyDescent="0.3">
      <c r="A25" s="93" t="s">
        <v>47</v>
      </c>
      <c r="B25" s="165"/>
      <c r="C25" s="15">
        <f>B25*B51*2</f>
        <v>0</v>
      </c>
      <c r="D25" s="97" t="s">
        <v>81</v>
      </c>
    </row>
    <row r="26" spans="1:5" x14ac:dyDescent="0.3">
      <c r="A26" s="93" t="s">
        <v>48</v>
      </c>
      <c r="B26" s="165"/>
      <c r="C26" s="15">
        <f>E26*B50</f>
        <v>0</v>
      </c>
      <c r="D26" s="98" t="s">
        <v>77</v>
      </c>
      <c r="E26" s="13">
        <f t="shared" ref="E26:E27" si="2">IF(B26="Yes",1,0)</f>
        <v>0</v>
      </c>
    </row>
    <row r="27" spans="1:5" ht="28.8" x14ac:dyDescent="0.3">
      <c r="A27" s="93" t="s">
        <v>49</v>
      </c>
      <c r="B27" s="165"/>
      <c r="C27" s="31">
        <v>0</v>
      </c>
      <c r="D27" s="98" t="s">
        <v>77</v>
      </c>
      <c r="E27" s="13">
        <f t="shared" si="2"/>
        <v>0</v>
      </c>
    </row>
    <row r="28" spans="1:5" ht="43.2" x14ac:dyDescent="0.3">
      <c r="A28" s="93" t="s">
        <v>82</v>
      </c>
      <c r="B28" s="166"/>
      <c r="C28" s="31">
        <f>(B50 + (B28-1)*0.5*B50)*E27</f>
        <v>0</v>
      </c>
      <c r="D28" s="97" t="s">
        <v>94</v>
      </c>
    </row>
    <row r="29" spans="1:5" ht="28.8" x14ac:dyDescent="0.3">
      <c r="A29" s="27" t="s">
        <v>50</v>
      </c>
      <c r="B29" s="165"/>
      <c r="C29" s="28">
        <v>0</v>
      </c>
      <c r="D29" s="29" t="s">
        <v>51</v>
      </c>
    </row>
    <row r="30" spans="1:5" x14ac:dyDescent="0.3">
      <c r="A30" s="13"/>
    </row>
    <row r="31" spans="1:5" ht="17.25" customHeight="1" x14ac:dyDescent="0.35">
      <c r="A31" s="377" t="s">
        <v>52</v>
      </c>
      <c r="B31" s="377"/>
      <c r="C31" s="377"/>
      <c r="D31" s="378"/>
    </row>
    <row r="32" spans="1:5" ht="28.8" x14ac:dyDescent="0.3">
      <c r="A32" s="93" t="s">
        <v>53</v>
      </c>
      <c r="B32" s="165"/>
      <c r="C32" s="15">
        <v>0</v>
      </c>
      <c r="D32" s="98" t="s">
        <v>77</v>
      </c>
      <c r="E32" s="13">
        <f t="shared" ref="E32" si="3">IF(B32="Yes",1,0)</f>
        <v>0</v>
      </c>
    </row>
    <row r="33" spans="1:5" ht="28.8" x14ac:dyDescent="0.3">
      <c r="A33" s="93" t="s">
        <v>54</v>
      </c>
      <c r="B33" s="165"/>
      <c r="C33" s="15">
        <f>B33*B50</f>
        <v>0</v>
      </c>
      <c r="D33" s="97" t="s">
        <v>83</v>
      </c>
    </row>
    <row r="34" spans="1:5" ht="15.6" x14ac:dyDescent="0.3">
      <c r="A34" s="380" t="s">
        <v>55</v>
      </c>
      <c r="B34" s="381"/>
      <c r="C34" s="381"/>
      <c r="D34" s="382"/>
    </row>
    <row r="35" spans="1:5" ht="28.8" x14ac:dyDescent="0.3">
      <c r="A35" s="93" t="s">
        <v>56</v>
      </c>
      <c r="B35" s="166"/>
      <c r="C35" s="18">
        <f>E35*B50</f>
        <v>0</v>
      </c>
      <c r="D35" s="98" t="s">
        <v>77</v>
      </c>
      <c r="E35" s="13">
        <f t="shared" ref="E35:E37" si="4">IF(B35="Yes",1,0)</f>
        <v>0</v>
      </c>
    </row>
    <row r="36" spans="1:5" ht="28.8" x14ac:dyDescent="0.3">
      <c r="A36" s="93" t="s">
        <v>57</v>
      </c>
      <c r="B36" s="166"/>
      <c r="C36" s="18">
        <f>2*E36*B50</f>
        <v>0</v>
      </c>
      <c r="D36" s="98" t="s">
        <v>77</v>
      </c>
      <c r="E36" s="13">
        <f t="shared" si="4"/>
        <v>0</v>
      </c>
    </row>
    <row r="37" spans="1:5" ht="28.8" x14ac:dyDescent="0.3">
      <c r="A37" s="93" t="s">
        <v>58</v>
      </c>
      <c r="B37" s="166"/>
      <c r="C37" s="18">
        <f>4*E37*B50 + 2*E37*B51</f>
        <v>0</v>
      </c>
      <c r="D37" s="97" t="s">
        <v>95</v>
      </c>
      <c r="E37" s="13">
        <f t="shared" si="4"/>
        <v>0</v>
      </c>
    </row>
    <row r="38" spans="1:5" ht="28.8" x14ac:dyDescent="0.3">
      <c r="A38" s="27" t="s">
        <v>50</v>
      </c>
      <c r="B38" s="165"/>
      <c r="C38" s="28">
        <v>0</v>
      </c>
      <c r="D38" s="29" t="s">
        <v>51</v>
      </c>
    </row>
    <row r="40" spans="1:5" ht="18.75" customHeight="1" x14ac:dyDescent="0.35">
      <c r="A40" s="377" t="s">
        <v>59</v>
      </c>
      <c r="B40" s="377"/>
      <c r="C40" s="377"/>
      <c r="D40" s="379"/>
    </row>
    <row r="41" spans="1:5" ht="43.2" x14ac:dyDescent="0.3">
      <c r="A41" s="93" t="s">
        <v>60</v>
      </c>
      <c r="B41" s="165"/>
      <c r="C41" s="15"/>
      <c r="D41" s="97" t="s">
        <v>61</v>
      </c>
    </row>
    <row r="42" spans="1:5" ht="28.8" x14ac:dyDescent="0.3">
      <c r="A42" s="93" t="s">
        <v>62</v>
      </c>
      <c r="B42" s="165"/>
      <c r="C42" s="15">
        <f>B52*B42</f>
        <v>0</v>
      </c>
      <c r="D42" s="98" t="s">
        <v>63</v>
      </c>
    </row>
    <row r="43" spans="1:5" ht="72" x14ac:dyDescent="0.3">
      <c r="A43" s="93" t="s">
        <v>64</v>
      </c>
      <c r="B43" s="165"/>
      <c r="C43" s="15">
        <f>B50*B43</f>
        <v>0</v>
      </c>
      <c r="D43" s="97" t="s">
        <v>96</v>
      </c>
    </row>
    <row r="44" spans="1:5" ht="28.8" x14ac:dyDescent="0.3">
      <c r="A44" s="93" t="s">
        <v>65</v>
      </c>
      <c r="B44" s="165"/>
      <c r="C44" s="15">
        <f>2*B50*E44</f>
        <v>0</v>
      </c>
      <c r="D44" s="98" t="s">
        <v>77</v>
      </c>
      <c r="E44" s="13">
        <f t="shared" ref="E44:E45" si="5">IF(B44="Yes",1,0)</f>
        <v>0</v>
      </c>
    </row>
    <row r="45" spans="1:5" ht="28.8" x14ac:dyDescent="0.3">
      <c r="A45" s="93" t="s">
        <v>66</v>
      </c>
      <c r="B45" s="165"/>
      <c r="C45" s="15">
        <f>4*B50*E45</f>
        <v>0</v>
      </c>
      <c r="D45" s="98" t="s">
        <v>77</v>
      </c>
      <c r="E45" s="13">
        <f t="shared" si="5"/>
        <v>0</v>
      </c>
    </row>
    <row r="46" spans="1:5" ht="28.8" x14ac:dyDescent="0.3">
      <c r="A46" s="27" t="s">
        <v>50</v>
      </c>
      <c r="B46" s="165"/>
      <c r="C46" s="28">
        <v>0</v>
      </c>
      <c r="D46" s="29" t="s">
        <v>51</v>
      </c>
    </row>
    <row r="47" spans="1:5" hidden="1" x14ac:dyDescent="0.3"/>
    <row r="48" spans="1:5" ht="18.75" hidden="1" customHeight="1" x14ac:dyDescent="0.35">
      <c r="A48" s="375" t="s">
        <v>67</v>
      </c>
      <c r="B48" s="375"/>
      <c r="C48" s="375"/>
      <c r="D48" s="17"/>
    </row>
    <row r="49" spans="1:4" ht="15.6" hidden="1" x14ac:dyDescent="0.3">
      <c r="A49" s="19" t="s">
        <v>68</v>
      </c>
      <c r="B49" s="25" t="s">
        <v>69</v>
      </c>
      <c r="C49" s="20"/>
      <c r="D49" s="21"/>
    </row>
    <row r="50" spans="1:4" ht="15.6" hidden="1" x14ac:dyDescent="0.3">
      <c r="A50" s="19" t="s">
        <v>70</v>
      </c>
      <c r="B50" s="26">
        <v>122.84</v>
      </c>
      <c r="C50" s="20"/>
      <c r="D50" s="22" t="s">
        <v>71</v>
      </c>
    </row>
    <row r="51" spans="1:4" ht="15.6" hidden="1" x14ac:dyDescent="0.3">
      <c r="A51" s="19" t="s">
        <v>72</v>
      </c>
      <c r="B51" s="26">
        <f>56*1.25</f>
        <v>70</v>
      </c>
      <c r="C51" s="20"/>
      <c r="D51" s="22" t="s">
        <v>73</v>
      </c>
    </row>
    <row r="52" spans="1:4" ht="15.6" hidden="1" x14ac:dyDescent="0.3">
      <c r="A52" s="19" t="s">
        <v>74</v>
      </c>
      <c r="B52" s="26">
        <v>122.84</v>
      </c>
      <c r="C52" s="20"/>
      <c r="D52" s="22" t="s">
        <v>75</v>
      </c>
    </row>
    <row r="53" spans="1:4" hidden="1" x14ac:dyDescent="0.3"/>
    <row r="54" spans="1:4" hidden="1" x14ac:dyDescent="0.3"/>
    <row r="55" spans="1:4" ht="21" hidden="1" x14ac:dyDescent="0.4">
      <c r="A55" s="376" t="s">
        <v>76</v>
      </c>
      <c r="B55" s="376"/>
      <c r="C55" s="23">
        <f>SUM(C3:C19, C21:C29,C32:C38,C41:C46)</f>
        <v>336.12012000000004</v>
      </c>
    </row>
    <row r="56" spans="1:4" hidden="1" x14ac:dyDescent="0.3"/>
  </sheetData>
  <sheetProtection algorithmName="SHA-512" hashValue="p+zcXKzNRzrqKaLqkI8LEVUOCuUfEcJStssRM/K/6TEuaC1eqAhKnzu02vdzKc+pMVnaAcWoufRwl5kIiRDLnw==" saltValue="0MzZfVuQyJxzeVPRRrqZ3A==" spinCount="100000" sheet="1" objects="1" scenarios="1" selectLockedCells="1"/>
  <mergeCells count="12">
    <mergeCell ref="A1:D1"/>
    <mergeCell ref="A48:C48"/>
    <mergeCell ref="A55:B55"/>
    <mergeCell ref="A31:D31"/>
    <mergeCell ref="A40:D40"/>
    <mergeCell ref="A34:D34"/>
    <mergeCell ref="A3:A7"/>
    <mergeCell ref="B3:B7"/>
    <mergeCell ref="C3:C7"/>
    <mergeCell ref="A8:A12"/>
    <mergeCell ref="B8:B12"/>
    <mergeCell ref="C8:C12"/>
  </mergeCells>
  <conditionalFormatting sqref="A31 E31:XFD31 E40:XFD40 D3:XFD7 A1 E1:XFD1 D48:XFD48 D50:XFD50 D55:XFD55 A3:B3 A2:XFD2 A49:XFD49 A51:XFD54 A56:XFD1048576 A34 E34:XFD34 A8:C8 E8:XFD12 A32:XFD33 A35:XFD39 A41:XFD47 A13:XFD22 A25:XFD30 C23:XFD23 B24:XFD24 A23:A24">
    <cfRule type="containsText" dxfId="4" priority="5" operator="containsText" text="No selection required">
      <formula>NOT(ISERROR(SEARCH("No selection required",A1)))</formula>
    </cfRule>
  </conditionalFormatting>
  <conditionalFormatting sqref="A40">
    <cfRule type="containsText" dxfId="3" priority="4" operator="containsText" text="No selection required">
      <formula>NOT(ISERROR(SEARCH("No selection required",A40)))</formula>
    </cfRule>
  </conditionalFormatting>
  <conditionalFormatting sqref="A55">
    <cfRule type="containsText" dxfId="2" priority="3" operator="containsText" text="No selection required">
      <formula>NOT(ISERROR(SEARCH("No selection required",A55)))</formula>
    </cfRule>
  </conditionalFormatting>
  <conditionalFormatting sqref="A48">
    <cfRule type="containsText" dxfId="1" priority="2" operator="containsText" text="No selection required">
      <formula>NOT(ISERROR(SEARCH("No selection required",A48)))</formula>
    </cfRule>
  </conditionalFormatting>
  <conditionalFormatting sqref="D8:D12">
    <cfRule type="containsText" dxfId="0" priority="1" operator="containsText" text="No selection required">
      <formula>NOT(ISERROR(SEARCH("No selection required",D8)))</formula>
    </cfRule>
  </conditionalFormatting>
  <dataValidations count="8">
    <dataValidation type="list" allowBlank="1" showInputMessage="1" showErrorMessage="1" sqref="B32 B23" xr:uid="{00000000-0002-0000-0200-000000000000}">
      <formula1>$G$1:$G$2</formula1>
    </dataValidation>
    <dataValidation type="whole" allowBlank="1" showInputMessage="1" showErrorMessage="1" error="Refer to instructions column" sqref="B3:B7 B8:B12" xr:uid="{00000000-0002-0000-0200-000001000000}">
      <formula1>1</formula1>
      <formula2>5</formula2>
    </dataValidation>
    <dataValidation type="whole" allowBlank="1" showInputMessage="1" showErrorMessage="1" error="Refer to instructions column" sqref="B13" xr:uid="{00000000-0002-0000-0200-000002000000}">
      <formula1>1</formula1>
      <formula2>3</formula2>
    </dataValidation>
    <dataValidation type="whole" allowBlank="1" showInputMessage="1" showErrorMessage="1" error="Refer to instructions column" sqref="B14" xr:uid="{00000000-0002-0000-0200-000003000000}">
      <formula1>0</formula1>
      <formula2>4</formula2>
    </dataValidation>
    <dataValidation type="whole" allowBlank="1" showInputMessage="1" showErrorMessage="1" error="Refer to instructions column" sqref="B25" xr:uid="{00000000-0002-0000-0200-000004000000}">
      <formula1>0</formula1>
      <formula2>3</formula2>
    </dataValidation>
    <dataValidation type="whole" allowBlank="1" showInputMessage="1" showErrorMessage="1" sqref="B28 B42:B43" xr:uid="{00000000-0002-0000-0200-000005000000}">
      <formula1>0</formula1>
      <formula2>500</formula2>
    </dataValidation>
    <dataValidation type="list" allowBlank="1" showInputMessage="1" showErrorMessage="1" error="Yes or No" sqref="B15:B19 B26:B27 B35:B37 B41 B44:B45 B22" xr:uid="{00000000-0002-0000-0200-000006000000}">
      <formula1>$G$1:$G$2</formula1>
    </dataValidation>
    <dataValidation type="list" allowBlank="1" showInputMessage="1" showErrorMessage="1" error="Yes or No" sqref="B24" xr:uid="{00000000-0002-0000-0200-000007000000}">
      <formula1>$I$1:$I$2</formula1>
    </dataValidation>
  </dataValidations>
  <pageMargins left="0.7" right="0.7" top="0.75" bottom="0.75" header="0.3" footer="0.3"/>
  <pageSetup scale="57"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theme="4" tint="-0.499984740745262"/>
  </sheetPr>
  <dimension ref="A1:AG40"/>
  <sheetViews>
    <sheetView workbookViewId="0">
      <pane xSplit="5" ySplit="7" topLeftCell="AH8" activePane="bottomRight" state="frozen"/>
      <selection pane="topRight" activeCell="F1" sqref="F1"/>
      <selection pane="bottomLeft" activeCell="A8" sqref="A8"/>
      <selection pane="bottomRight" activeCell="A4" sqref="A4"/>
    </sheetView>
  </sheetViews>
  <sheetFormatPr defaultColWidth="8.77734375" defaultRowHeight="14.4" x14ac:dyDescent="0.3"/>
  <cols>
    <col min="1" max="1" width="13.109375" customWidth="1"/>
    <col min="2" max="2" width="15.44140625" style="65" customWidth="1"/>
    <col min="3" max="3" width="20.33203125" style="9" customWidth="1"/>
    <col min="4" max="4" width="20.44140625" customWidth="1"/>
    <col min="5" max="5" width="15.77734375" style="66" customWidth="1"/>
    <col min="6" max="6" width="4" style="66" hidden="1" customWidth="1"/>
    <col min="7" max="8" width="11" style="71" hidden="1" customWidth="1"/>
    <col min="9" max="12" width="8.77734375" style="71" hidden="1" customWidth="1"/>
    <col min="13" max="13" width="4" style="66" hidden="1" customWidth="1"/>
    <col min="14" max="14" width="3" style="66" hidden="1" customWidth="1"/>
    <col min="15" max="15" width="8.77734375" hidden="1" customWidth="1"/>
    <col min="16" max="16" width="13.77734375" hidden="1" customWidth="1"/>
    <col min="17" max="17" width="8.77734375" hidden="1" customWidth="1"/>
    <col min="18" max="18" width="5.109375" hidden="1" customWidth="1"/>
    <col min="19" max="19" width="3.109375" hidden="1" customWidth="1"/>
    <col min="20" max="21" width="8.77734375" style="9" hidden="1" customWidth="1"/>
    <col min="22" max="25" width="8.77734375" hidden="1" customWidth="1"/>
    <col min="26" max="26" width="11.6640625" hidden="1" customWidth="1"/>
    <col min="27" max="30" width="8.77734375" hidden="1" customWidth="1"/>
    <col min="31" max="31" width="11.6640625" hidden="1" customWidth="1"/>
    <col min="32" max="32" width="9.44140625" hidden="1" customWidth="1"/>
    <col min="33" max="33" width="8.77734375" hidden="1" customWidth="1"/>
    <col min="34" max="70" width="8.77734375" customWidth="1"/>
  </cols>
  <sheetData>
    <row r="1" spans="1:33" ht="12" customHeight="1" x14ac:dyDescent="0.3">
      <c r="A1" s="400" t="s">
        <v>262</v>
      </c>
      <c r="B1" s="400"/>
      <c r="C1" s="400"/>
      <c r="D1" s="400"/>
      <c r="E1" s="400"/>
      <c r="F1" s="80"/>
      <c r="M1" s="73"/>
      <c r="N1" s="70">
        <v>1</v>
      </c>
      <c r="O1" s="70" t="s">
        <v>220</v>
      </c>
      <c r="P1" s="70" t="s">
        <v>211</v>
      </c>
      <c r="Q1" s="70" t="s">
        <v>220</v>
      </c>
      <c r="R1" s="9">
        <v>1</v>
      </c>
      <c r="S1" s="72"/>
      <c r="T1" s="70" t="s">
        <v>224</v>
      </c>
      <c r="U1" s="9">
        <v>3</v>
      </c>
      <c r="V1">
        <v>4</v>
      </c>
      <c r="Y1" s="11" t="str">
        <f>IF(L4=0,"",IF(L4&lt;5,"Tier 1",IF(L4&lt;7,"Tier 2",IF(L4&lt;9,"Tier 3",IF(L4&lt;11,"Tier 4","Tier 5")))))</f>
        <v/>
      </c>
      <c r="Z1" s="110" t="str">
        <f>IF(Y1="","",IF(AD1="Non-Industry",VLOOKUP(Y1,AD11:AE15,2,FALSE)*'Protocol Cover Sheet'!Q16,IF(AD1="Industry",VLOOKUP(Y1,AD11:AF15,3,FALSE)*'Protocol Cover Sheet'!Q16,IF(AD1="External",VLOOKUP(Y1,AD11:AG15,4,FALSE)*'Protocol Cover Sheet'!Q16,0))))</f>
        <v/>
      </c>
      <c r="AD1" s="83">
        <f>'Estimate Details'!C1</f>
        <v>0</v>
      </c>
    </row>
    <row r="2" spans="1:33" ht="9.4499999999999993" customHeight="1" x14ac:dyDescent="0.3">
      <c r="A2" s="401"/>
      <c r="B2" s="401"/>
      <c r="C2" s="401"/>
      <c r="D2" s="401"/>
      <c r="E2" s="401"/>
      <c r="F2" s="80"/>
      <c r="M2" s="73"/>
      <c r="N2" s="70">
        <v>2</v>
      </c>
      <c r="O2" s="70" t="s">
        <v>221</v>
      </c>
      <c r="P2" s="70" t="s">
        <v>226</v>
      </c>
      <c r="Q2" s="70" t="s">
        <v>211</v>
      </c>
      <c r="R2" s="9">
        <v>2</v>
      </c>
      <c r="S2" s="72"/>
      <c r="T2" s="70" t="s">
        <v>225</v>
      </c>
      <c r="U2" s="9">
        <v>5</v>
      </c>
      <c r="V2">
        <v>6</v>
      </c>
    </row>
    <row r="3" spans="1:33" ht="28.2" customHeight="1" x14ac:dyDescent="0.3">
      <c r="A3" s="88" t="s">
        <v>208</v>
      </c>
      <c r="B3" s="88" t="s">
        <v>209</v>
      </c>
      <c r="C3" s="88" t="s">
        <v>210</v>
      </c>
      <c r="D3" s="89" t="s">
        <v>218</v>
      </c>
      <c r="E3" s="89" t="s">
        <v>219</v>
      </c>
      <c r="F3" s="78"/>
      <c r="G3" s="75"/>
      <c r="H3" s="75"/>
      <c r="I3" s="2"/>
      <c r="J3" s="2"/>
      <c r="K3" s="2"/>
      <c r="L3" s="2"/>
      <c r="M3" s="72"/>
      <c r="N3" s="70">
        <v>3</v>
      </c>
      <c r="O3" s="9" t="s">
        <v>222</v>
      </c>
      <c r="P3" s="9" t="s">
        <v>223</v>
      </c>
      <c r="Q3" s="9" t="s">
        <v>222</v>
      </c>
      <c r="R3" s="9">
        <v>3</v>
      </c>
      <c r="S3" s="72"/>
      <c r="T3" s="9" t="s">
        <v>227</v>
      </c>
      <c r="U3" s="9">
        <v>7</v>
      </c>
      <c r="V3">
        <v>8</v>
      </c>
      <c r="AE3" s="83"/>
      <c r="AF3" s="70"/>
      <c r="AG3" s="70"/>
    </row>
    <row r="4" spans="1:33" ht="21" customHeight="1" x14ac:dyDescent="0.3">
      <c r="A4" s="192"/>
      <c r="B4" s="192"/>
      <c r="C4" s="193"/>
      <c r="D4" s="192"/>
      <c r="E4" s="192"/>
      <c r="F4" s="81"/>
      <c r="G4" s="2">
        <f>IF(A4="",0,IF(A4&lt;2,1,IF(A4&lt;3,2,3)))</f>
        <v>0</v>
      </c>
      <c r="H4" s="2">
        <f>IF(B4="",0,IF(B4="None",0,IF(B4="Simple",1,2)))</f>
        <v>0</v>
      </c>
      <c r="I4" s="2">
        <f>IF(C4="",0,IF(C4="Minimal",1,IF(C4="Intensive",3,2)))</f>
        <v>0</v>
      </c>
      <c r="J4" s="2">
        <f>IF(D4="",0,IF(D4="None",0,IF(D4="Minimal",1,2)))</f>
        <v>0</v>
      </c>
      <c r="K4" s="2">
        <f>IF(E4="",0,IF(E4=1,1,IF(E4=2,2,3)))</f>
        <v>0</v>
      </c>
      <c r="L4" s="2">
        <f>SUM(G4:K4)</f>
        <v>0</v>
      </c>
      <c r="M4" s="72"/>
      <c r="N4" s="70">
        <v>4</v>
      </c>
      <c r="O4" s="9"/>
      <c r="P4" s="70"/>
      <c r="Q4" s="9"/>
      <c r="R4" s="9">
        <v>4</v>
      </c>
      <c r="S4" s="72"/>
      <c r="T4" s="9" t="s">
        <v>228</v>
      </c>
      <c r="U4" s="9">
        <v>9</v>
      </c>
      <c r="V4">
        <v>10</v>
      </c>
    </row>
    <row r="5" spans="1:33" ht="26.55" hidden="1" customHeight="1" x14ac:dyDescent="0.3">
      <c r="A5" s="84"/>
      <c r="B5" s="84"/>
      <c r="C5" s="85"/>
      <c r="D5" s="84"/>
      <c r="E5" s="84"/>
      <c r="F5" s="81"/>
      <c r="G5" s="2"/>
      <c r="H5" s="2"/>
      <c r="I5" s="2"/>
      <c r="J5" s="2"/>
      <c r="K5" s="2"/>
      <c r="L5" s="2"/>
      <c r="M5" s="72"/>
      <c r="N5" s="70">
        <v>5</v>
      </c>
      <c r="O5" s="9"/>
      <c r="P5" s="9"/>
      <c r="Q5" s="9"/>
      <c r="R5" s="9">
        <v>5</v>
      </c>
      <c r="S5" s="72"/>
      <c r="T5" s="9" t="s">
        <v>229</v>
      </c>
      <c r="U5" s="9">
        <v>11</v>
      </c>
    </row>
    <row r="6" spans="1:33" ht="17.55" customHeight="1" x14ac:dyDescent="0.3">
      <c r="A6" s="402" t="s">
        <v>264</v>
      </c>
      <c r="B6" s="403"/>
      <c r="C6" s="403"/>
      <c r="D6" s="403"/>
      <c r="E6" s="403"/>
      <c r="F6" s="81"/>
      <c r="G6" s="2"/>
      <c r="H6" s="2"/>
      <c r="I6" s="2"/>
      <c r="J6" s="2"/>
      <c r="K6" s="2"/>
      <c r="L6" s="2"/>
      <c r="M6" s="72"/>
      <c r="N6" s="70">
        <v>6</v>
      </c>
      <c r="O6" s="9"/>
      <c r="P6" s="9"/>
      <c r="Q6" s="9"/>
      <c r="R6" s="9">
        <v>6</v>
      </c>
      <c r="S6" s="72"/>
      <c r="T6" s="9" t="s">
        <v>230</v>
      </c>
    </row>
    <row r="7" spans="1:33" ht="13.8" customHeight="1" thickBot="1" x14ac:dyDescent="0.35">
      <c r="A7" s="404"/>
      <c r="B7" s="404"/>
      <c r="C7" s="404"/>
      <c r="D7" s="404"/>
      <c r="E7" s="404"/>
      <c r="F7" s="81"/>
      <c r="G7" s="2"/>
      <c r="H7" s="2"/>
      <c r="I7" s="2"/>
      <c r="J7" s="2"/>
      <c r="K7" s="2"/>
      <c r="L7" s="2"/>
      <c r="M7" s="72"/>
      <c r="N7" s="70">
        <v>7</v>
      </c>
      <c r="O7" s="9"/>
      <c r="P7" s="9"/>
      <c r="Q7" s="9"/>
      <c r="R7" s="9">
        <v>7</v>
      </c>
      <c r="S7" s="72"/>
    </row>
    <row r="8" spans="1:33" ht="20.55" customHeight="1" x14ac:dyDescent="0.3">
      <c r="A8" s="90" t="s">
        <v>208</v>
      </c>
      <c r="B8" s="84"/>
      <c r="C8" s="86"/>
      <c r="D8" s="84"/>
      <c r="E8" s="84"/>
      <c r="F8" s="81"/>
      <c r="G8" s="2"/>
      <c r="H8" s="2"/>
      <c r="I8" s="2"/>
      <c r="J8" s="2"/>
      <c r="K8" s="2"/>
      <c r="L8" s="2"/>
      <c r="M8" s="72"/>
      <c r="N8" s="70">
        <v>8</v>
      </c>
      <c r="O8" s="9"/>
      <c r="P8" s="9"/>
      <c r="Q8" s="9"/>
      <c r="R8" s="9">
        <v>8</v>
      </c>
      <c r="S8" s="72"/>
      <c r="T8" s="11"/>
    </row>
    <row r="9" spans="1:33" ht="15" customHeight="1" x14ac:dyDescent="0.3">
      <c r="A9" s="398" t="s">
        <v>257</v>
      </c>
      <c r="B9" s="399"/>
      <c r="C9" s="399"/>
      <c r="D9" s="399"/>
      <c r="E9" s="399"/>
      <c r="F9" s="81"/>
      <c r="G9" s="2"/>
      <c r="H9" s="2"/>
      <c r="I9" s="2"/>
      <c r="J9" s="2"/>
      <c r="K9" s="2"/>
      <c r="L9" s="2"/>
      <c r="M9" s="72"/>
      <c r="N9" s="70">
        <v>9</v>
      </c>
      <c r="O9" s="9"/>
      <c r="P9" s="9"/>
      <c r="Q9" s="9"/>
      <c r="R9" s="9">
        <v>9</v>
      </c>
      <c r="S9" s="72"/>
    </row>
    <row r="10" spans="1:33" ht="15.45" customHeight="1" x14ac:dyDescent="0.3">
      <c r="A10" s="90" t="s">
        <v>209</v>
      </c>
      <c r="B10" s="84"/>
      <c r="C10" s="85"/>
      <c r="D10" s="84"/>
      <c r="E10" s="84"/>
      <c r="F10" s="81"/>
      <c r="G10" s="2"/>
      <c r="H10" s="2"/>
      <c r="I10" s="2"/>
      <c r="J10" s="2"/>
      <c r="K10" s="2"/>
      <c r="L10" s="2"/>
      <c r="M10" s="72"/>
      <c r="N10" s="70">
        <v>10</v>
      </c>
      <c r="O10" s="9"/>
      <c r="P10" s="9"/>
      <c r="Q10" s="9"/>
      <c r="R10" s="9">
        <v>10</v>
      </c>
      <c r="S10" s="72"/>
      <c r="AE10" s="83" t="s">
        <v>314</v>
      </c>
      <c r="AF10" s="70" t="s">
        <v>315</v>
      </c>
      <c r="AG10" s="70" t="s">
        <v>268</v>
      </c>
    </row>
    <row r="11" spans="1:33" ht="15" customHeight="1" x14ac:dyDescent="0.3">
      <c r="A11" s="405" t="s">
        <v>253</v>
      </c>
      <c r="B11" s="399"/>
      <c r="C11" s="399"/>
      <c r="D11" s="399"/>
      <c r="E11" s="399"/>
      <c r="F11" s="81"/>
      <c r="G11" s="2"/>
      <c r="H11" s="2"/>
      <c r="I11" s="2"/>
      <c r="J11" s="2"/>
      <c r="K11" s="2"/>
      <c r="L11" s="2"/>
      <c r="M11" s="74"/>
      <c r="N11" s="70">
        <v>11</v>
      </c>
      <c r="O11" s="9"/>
      <c r="P11" s="9"/>
      <c r="Q11" s="9"/>
      <c r="R11" s="9"/>
      <c r="S11" s="72"/>
      <c r="AD11" t="s">
        <v>224</v>
      </c>
      <c r="AE11">
        <v>284.42</v>
      </c>
      <c r="AF11">
        <v>383.97</v>
      </c>
      <c r="AG11">
        <v>518.36</v>
      </c>
    </row>
    <row r="12" spans="1:33" ht="27" customHeight="1" x14ac:dyDescent="0.3">
      <c r="A12" s="406" t="s">
        <v>252</v>
      </c>
      <c r="B12" s="397"/>
      <c r="C12" s="397"/>
      <c r="D12" s="397"/>
      <c r="E12" s="397"/>
      <c r="F12" s="81"/>
      <c r="G12" s="2"/>
      <c r="H12" s="2"/>
      <c r="I12" s="2"/>
      <c r="J12" s="2"/>
      <c r="K12" s="2"/>
      <c r="L12" s="2"/>
      <c r="M12" s="74"/>
      <c r="N12" s="70">
        <v>12</v>
      </c>
      <c r="O12" s="9"/>
      <c r="P12" s="9"/>
      <c r="Q12" s="9"/>
      <c r="R12" s="9"/>
      <c r="S12" s="72"/>
      <c r="AD12" t="s">
        <v>225</v>
      </c>
      <c r="AE12">
        <v>551.51</v>
      </c>
      <c r="AF12">
        <v>744.54</v>
      </c>
      <c r="AG12">
        <v>1005.13</v>
      </c>
    </row>
    <row r="13" spans="1:33" ht="27" customHeight="1" x14ac:dyDescent="0.3">
      <c r="A13" s="398" t="s">
        <v>254</v>
      </c>
      <c r="B13" s="398"/>
      <c r="C13" s="398"/>
      <c r="D13" s="398"/>
      <c r="E13" s="398"/>
      <c r="F13" s="81"/>
      <c r="G13" s="2"/>
      <c r="H13" s="2"/>
      <c r="I13" s="2"/>
      <c r="J13" s="2"/>
      <c r="K13" s="2"/>
      <c r="L13" s="2"/>
      <c r="M13" s="74"/>
      <c r="N13" s="70">
        <v>13</v>
      </c>
      <c r="O13" s="9"/>
      <c r="P13" s="9"/>
      <c r="Q13" s="9"/>
      <c r="R13" s="9"/>
      <c r="S13" s="72"/>
      <c r="AD13" t="s">
        <v>227</v>
      </c>
      <c r="AE13">
        <v>658.35</v>
      </c>
      <c r="AF13">
        <v>888.77</v>
      </c>
      <c r="AG13">
        <v>1199.8399999999999</v>
      </c>
    </row>
    <row r="14" spans="1:33" ht="15.45" customHeight="1" x14ac:dyDescent="0.3">
      <c r="A14" s="91" t="s">
        <v>210</v>
      </c>
      <c r="B14" s="3"/>
      <c r="C14" s="3"/>
      <c r="D14" s="3"/>
      <c r="E14" s="87"/>
      <c r="F14" s="82"/>
      <c r="G14" s="76"/>
      <c r="H14" s="76"/>
      <c r="I14" s="2"/>
      <c r="J14" s="2"/>
      <c r="K14" s="2"/>
      <c r="L14" s="2"/>
      <c r="M14" s="72"/>
      <c r="N14" s="70">
        <v>14</v>
      </c>
      <c r="O14" s="9"/>
      <c r="P14" s="9"/>
      <c r="Q14" s="9"/>
      <c r="R14" s="9"/>
      <c r="S14" s="72"/>
      <c r="AD14" t="s">
        <v>228</v>
      </c>
      <c r="AE14">
        <v>794.06</v>
      </c>
      <c r="AF14">
        <v>1071.98</v>
      </c>
      <c r="AG14">
        <v>1447.17</v>
      </c>
    </row>
    <row r="15" spans="1:33" ht="27.45" customHeight="1" x14ac:dyDescent="0.3">
      <c r="A15" s="397" t="s">
        <v>255</v>
      </c>
      <c r="B15" s="397"/>
      <c r="C15" s="397"/>
      <c r="D15" s="397"/>
      <c r="E15" s="397"/>
      <c r="F15" s="80"/>
      <c r="M15" s="73"/>
      <c r="N15" s="70">
        <v>15</v>
      </c>
      <c r="S15" s="72"/>
      <c r="AD15" t="s">
        <v>229</v>
      </c>
      <c r="AE15">
        <v>890.79</v>
      </c>
      <c r="AF15">
        <v>1202.57</v>
      </c>
      <c r="AG15">
        <v>1623.47</v>
      </c>
    </row>
    <row r="16" spans="1:33" ht="15" customHeight="1" x14ac:dyDescent="0.3">
      <c r="A16" s="397" t="s">
        <v>256</v>
      </c>
      <c r="B16" s="397"/>
      <c r="C16" s="397"/>
      <c r="D16" s="397"/>
      <c r="E16" s="397"/>
    </row>
    <row r="17" spans="1:5" ht="27" customHeight="1" x14ac:dyDescent="0.3">
      <c r="A17" s="397" t="s">
        <v>263</v>
      </c>
      <c r="B17" s="397"/>
      <c r="C17" s="397"/>
      <c r="D17" s="397"/>
      <c r="E17" s="397"/>
    </row>
    <row r="18" spans="1:5" ht="15.45" customHeight="1" x14ac:dyDescent="0.3">
      <c r="A18" s="91" t="s">
        <v>218</v>
      </c>
      <c r="B18" s="87"/>
      <c r="C18" s="138"/>
      <c r="D18" s="3"/>
      <c r="E18" s="139"/>
    </row>
    <row r="19" spans="1:5" x14ac:dyDescent="0.3">
      <c r="A19" s="397" t="s">
        <v>258</v>
      </c>
      <c r="B19" s="397"/>
      <c r="C19" s="397"/>
      <c r="D19" s="397"/>
      <c r="E19" s="397"/>
    </row>
    <row r="20" spans="1:5" x14ac:dyDescent="0.3">
      <c r="A20" s="397" t="s">
        <v>259</v>
      </c>
      <c r="B20" s="397"/>
      <c r="C20" s="397"/>
      <c r="D20" s="397"/>
      <c r="E20" s="397"/>
    </row>
    <row r="21" spans="1:5" x14ac:dyDescent="0.3">
      <c r="A21" s="397" t="s">
        <v>260</v>
      </c>
      <c r="B21" s="397"/>
      <c r="C21" s="397"/>
      <c r="D21" s="397"/>
      <c r="E21" s="397"/>
    </row>
    <row r="22" spans="1:5" ht="15.45" customHeight="1" x14ac:dyDescent="0.3">
      <c r="A22" s="91" t="s">
        <v>219</v>
      </c>
      <c r="B22" s="87"/>
      <c r="C22" s="138"/>
      <c r="D22" s="3"/>
      <c r="E22" s="139"/>
    </row>
    <row r="23" spans="1:5" ht="40.200000000000003" customHeight="1" x14ac:dyDescent="0.3">
      <c r="A23" s="397" t="s">
        <v>261</v>
      </c>
      <c r="B23" s="397"/>
      <c r="C23" s="397"/>
      <c r="D23" s="397"/>
      <c r="E23" s="397"/>
    </row>
    <row r="24" spans="1:5" x14ac:dyDescent="0.3">
      <c r="A24" s="3"/>
      <c r="B24" s="87"/>
      <c r="C24" s="138"/>
      <c r="D24" s="3"/>
      <c r="E24" s="139"/>
    </row>
    <row r="25" spans="1:5" x14ac:dyDescent="0.3">
      <c r="A25" s="3"/>
      <c r="B25" s="87"/>
      <c r="C25" s="138"/>
      <c r="D25" s="3"/>
      <c r="E25" s="139"/>
    </row>
    <row r="26" spans="1:5" x14ac:dyDescent="0.3">
      <c r="A26" s="3"/>
      <c r="B26" s="87"/>
      <c r="C26" s="138"/>
      <c r="D26" s="3"/>
      <c r="E26" s="139"/>
    </row>
    <row r="27" spans="1:5" x14ac:dyDescent="0.3">
      <c r="A27" s="3"/>
      <c r="B27" s="87"/>
      <c r="C27" s="138"/>
      <c r="D27" s="3"/>
      <c r="E27" s="139"/>
    </row>
    <row r="28" spans="1:5" x14ac:dyDescent="0.3">
      <c r="A28" s="3"/>
      <c r="B28" s="87"/>
      <c r="C28" s="138"/>
      <c r="D28" s="3"/>
      <c r="E28" s="139"/>
    </row>
    <row r="29" spans="1:5" x14ac:dyDescent="0.3">
      <c r="A29" s="3"/>
      <c r="B29" s="87"/>
      <c r="C29" s="138"/>
      <c r="D29" s="3"/>
      <c r="E29" s="139"/>
    </row>
    <row r="30" spans="1:5" x14ac:dyDescent="0.3">
      <c r="A30" s="3"/>
      <c r="B30" s="87"/>
      <c r="C30" s="138"/>
      <c r="D30" s="3"/>
      <c r="E30" s="139"/>
    </row>
    <row r="31" spans="1:5" x14ac:dyDescent="0.3">
      <c r="A31" s="3"/>
      <c r="B31" s="87"/>
      <c r="C31" s="138"/>
      <c r="D31" s="3"/>
      <c r="E31" s="139"/>
    </row>
    <row r="32" spans="1:5" x14ac:dyDescent="0.3">
      <c r="A32" s="3"/>
      <c r="B32" s="87"/>
      <c r="C32" s="138"/>
      <c r="D32" s="3"/>
      <c r="E32" s="139"/>
    </row>
    <row r="33" spans="1:5" x14ac:dyDescent="0.3">
      <c r="A33" s="3"/>
      <c r="B33" s="87"/>
      <c r="C33" s="138"/>
      <c r="D33" s="3"/>
      <c r="E33" s="139"/>
    </row>
    <row r="34" spans="1:5" x14ac:dyDescent="0.3">
      <c r="A34" s="3"/>
      <c r="B34" s="87"/>
      <c r="C34" s="138"/>
      <c r="D34" s="3"/>
      <c r="E34" s="139"/>
    </row>
    <row r="35" spans="1:5" x14ac:dyDescent="0.3">
      <c r="A35" s="3"/>
      <c r="B35" s="87"/>
      <c r="C35" s="138"/>
      <c r="D35" s="3"/>
      <c r="E35" s="139"/>
    </row>
    <row r="36" spans="1:5" x14ac:dyDescent="0.3">
      <c r="A36" s="3"/>
      <c r="B36" s="87"/>
      <c r="C36" s="138"/>
      <c r="D36" s="3"/>
      <c r="E36" s="139"/>
    </row>
    <row r="37" spans="1:5" x14ac:dyDescent="0.3">
      <c r="A37" s="3"/>
      <c r="B37" s="87"/>
      <c r="C37" s="138"/>
      <c r="D37" s="3"/>
      <c r="E37" s="139"/>
    </row>
    <row r="38" spans="1:5" x14ac:dyDescent="0.3">
      <c r="A38" s="3"/>
      <c r="B38" s="87"/>
      <c r="C38" s="138"/>
      <c r="D38" s="3"/>
      <c r="E38" s="139"/>
    </row>
    <row r="39" spans="1:5" x14ac:dyDescent="0.3">
      <c r="A39" s="3"/>
      <c r="B39" s="87"/>
      <c r="C39" s="138"/>
      <c r="D39" s="3"/>
      <c r="E39" s="139"/>
    </row>
    <row r="40" spans="1:5" x14ac:dyDescent="0.3">
      <c r="A40" s="3"/>
      <c r="B40" s="87"/>
      <c r="C40" s="138"/>
      <c r="D40" s="3"/>
      <c r="E40" s="139"/>
    </row>
  </sheetData>
  <sheetProtection algorithmName="SHA-512" hashValue="wuDMFJg/TBaag+mt17d5w75tD8Zbw38mQt++Xdk6yZpSow/LIE61wzNlYsVjjm/NmKtd1jcYITnbUFRDAJjIRw==" saltValue="+Ll+QncoPo6EuAavLs5ZoQ==" spinCount="100000" sheet="1" objects="1" scenarios="1" selectLockedCells="1"/>
  <mergeCells count="13">
    <mergeCell ref="A9:E9"/>
    <mergeCell ref="A19:E19"/>
    <mergeCell ref="A1:E2"/>
    <mergeCell ref="A6:E7"/>
    <mergeCell ref="A11:E11"/>
    <mergeCell ref="A12:E12"/>
    <mergeCell ref="A13:E13"/>
    <mergeCell ref="A20:E20"/>
    <mergeCell ref="A21:E21"/>
    <mergeCell ref="A23:E23"/>
    <mergeCell ref="A15:E15"/>
    <mergeCell ref="A16:E16"/>
    <mergeCell ref="A17:E17"/>
  </mergeCells>
  <dataValidations count="5">
    <dataValidation type="list" allowBlank="1" showInputMessage="1" showErrorMessage="1" sqref="A4" xr:uid="{00000000-0002-0000-0300-000000000000}">
      <formula1>$N$1:$N$14</formula1>
    </dataValidation>
    <dataValidation type="list" allowBlank="1" showInputMessage="1" showErrorMessage="1" sqref="B4" xr:uid="{00000000-0002-0000-0300-000001000000}">
      <formula1>$O$1:$O$3</formula1>
    </dataValidation>
    <dataValidation type="list" allowBlank="1" showInputMessage="1" showErrorMessage="1" sqref="C4" xr:uid="{00000000-0002-0000-0300-000002000000}">
      <formula1>$P$1:$P$4</formula1>
    </dataValidation>
    <dataValidation type="list" allowBlank="1" showInputMessage="1" showErrorMessage="1" sqref="D4" xr:uid="{00000000-0002-0000-0300-000003000000}">
      <formula1>$Q$1:$Q$3</formula1>
    </dataValidation>
    <dataValidation type="list" allowBlank="1" showInputMessage="1" showErrorMessage="1" sqref="F4:F13 E4" xr:uid="{00000000-0002-0000-0300-000004000000}">
      <formula1>$R$1:$R$10</formula1>
    </dataValidation>
  </dataValidation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tabColor theme="4" tint="-0.499984740745262"/>
  </sheetPr>
  <dimension ref="A1:AC83"/>
  <sheetViews>
    <sheetView zoomScaleNormal="100" workbookViewId="0">
      <pane ySplit="1" topLeftCell="A2" activePane="bottomLeft" state="frozen"/>
      <selection pane="bottomLeft" activeCell="I10" sqref="I10"/>
    </sheetView>
  </sheetViews>
  <sheetFormatPr defaultColWidth="8.77734375" defaultRowHeight="14.4" x14ac:dyDescent="0.3"/>
  <cols>
    <col min="1" max="1" width="26" customWidth="1"/>
    <col min="2" max="2" width="9.44140625" customWidth="1"/>
    <col min="3" max="3" width="9.33203125" customWidth="1"/>
    <col min="4" max="4" width="21.33203125" customWidth="1"/>
    <col min="5" max="5" width="9.88671875" customWidth="1"/>
    <col min="6" max="6" width="11.44140625" customWidth="1"/>
    <col min="7" max="7" width="9" customWidth="1"/>
    <col min="8" max="8" width="7.6640625" customWidth="1"/>
    <col min="9" max="9" width="8" customWidth="1"/>
    <col min="10" max="10" width="2.21875" customWidth="1"/>
    <col min="11" max="11" width="10.6640625" style="8" customWidth="1"/>
    <col min="12" max="12" width="25.109375" style="1" customWidth="1"/>
    <col min="13" max="13" width="71.109375" style="1" customWidth="1"/>
    <col min="14" max="15" width="10.44140625" hidden="1" customWidth="1"/>
    <col min="16" max="16" width="11.44140625" hidden="1" customWidth="1"/>
    <col min="17" max="17" width="12" style="83" hidden="1" customWidth="1"/>
    <col min="18" max="21" width="11.44140625" style="83" hidden="1" customWidth="1"/>
    <col min="22" max="22" width="11.44140625" style="11" hidden="1" customWidth="1"/>
    <col min="23" max="23" width="8.77734375" style="83" hidden="1" customWidth="1"/>
    <col min="24" max="24" width="17.44140625" hidden="1" customWidth="1"/>
    <col min="25" max="25" width="8.77734375" hidden="1" customWidth="1"/>
    <col min="26" max="26" width="20" hidden="1" customWidth="1"/>
    <col min="27" max="27" width="17.77734375" hidden="1" customWidth="1"/>
    <col min="28" max="28" width="15.33203125" hidden="1" customWidth="1"/>
    <col min="29" max="30" width="8.77734375" customWidth="1"/>
    <col min="31" max="31" width="1.77734375" customWidth="1"/>
    <col min="32" max="42" width="8.77734375" customWidth="1"/>
  </cols>
  <sheetData>
    <row r="1" spans="1:29" ht="25.2" customHeight="1" thickBot="1" x14ac:dyDescent="0.35">
      <c r="A1" s="440" t="s">
        <v>299</v>
      </c>
      <c r="B1" s="440"/>
      <c r="C1" s="440"/>
      <c r="D1" s="440"/>
      <c r="E1" s="440"/>
      <c r="F1" s="440"/>
      <c r="G1" s="440"/>
      <c r="H1" s="440"/>
      <c r="I1" s="441"/>
      <c r="J1" s="231"/>
      <c r="K1" s="211" t="s">
        <v>242</v>
      </c>
      <c r="L1" s="212" t="s">
        <v>28</v>
      </c>
      <c r="M1" s="213" t="s">
        <v>231</v>
      </c>
      <c r="N1" s="127" t="s">
        <v>314</v>
      </c>
      <c r="O1" s="128" t="s">
        <v>315</v>
      </c>
      <c r="P1" s="128" t="s">
        <v>316</v>
      </c>
      <c r="Q1" s="124" t="s">
        <v>269</v>
      </c>
      <c r="R1" s="125" t="s">
        <v>29</v>
      </c>
      <c r="S1" s="129" t="s">
        <v>270</v>
      </c>
      <c r="T1" s="237" t="s">
        <v>310</v>
      </c>
      <c r="U1" s="125" t="s">
        <v>251</v>
      </c>
      <c r="V1" s="129" t="s">
        <v>271</v>
      </c>
      <c r="W1" s="114" t="s">
        <v>78</v>
      </c>
      <c r="X1" s="11" t="str">
        <f>IF('Estimate Details'!C1="","",'Estimate Details'!C1)</f>
        <v/>
      </c>
      <c r="Z1" s="126" t="s">
        <v>272</v>
      </c>
      <c r="AA1" s="126" t="s">
        <v>273</v>
      </c>
      <c r="AB1" s="126" t="s">
        <v>29</v>
      </c>
    </row>
    <row r="2" spans="1:29" ht="27.45" customHeight="1" thickBot="1" x14ac:dyDescent="0.4">
      <c r="A2" s="465" t="s">
        <v>296</v>
      </c>
      <c r="B2" s="466"/>
      <c r="C2" s="466"/>
      <c r="D2" s="467"/>
      <c r="E2" s="467"/>
      <c r="F2" s="467"/>
      <c r="G2" s="467"/>
      <c r="H2" s="467"/>
      <c r="I2" s="10"/>
      <c r="J2" s="231"/>
      <c r="K2" s="214" t="s">
        <v>102</v>
      </c>
      <c r="L2" s="215" t="s">
        <v>317</v>
      </c>
      <c r="M2" s="122" t="s">
        <v>232</v>
      </c>
      <c r="N2" s="113">
        <v>101.72</v>
      </c>
      <c r="O2" s="111">
        <v>162.75</v>
      </c>
      <c r="P2" s="111">
        <v>219.71</v>
      </c>
      <c r="Q2" s="115">
        <f>COUNTIF($A$4:$A$6,L2)</f>
        <v>0</v>
      </c>
      <c r="R2" s="116">
        <f>SUMIF($A$4:$A$6,L2,$C$4:$C$6)</f>
        <v>0</v>
      </c>
      <c r="S2" s="130">
        <f>IF($X$1="",0,IF($X$1="Non-Industry",N2,IF($X$1="Industry",O2,P2)))</f>
        <v>0</v>
      </c>
      <c r="T2" s="116"/>
      <c r="U2" s="116"/>
      <c r="V2" s="132">
        <f>Q2*R2*S2</f>
        <v>0</v>
      </c>
      <c r="W2" s="114" t="s">
        <v>79</v>
      </c>
      <c r="Z2" s="77" t="str">
        <f t="shared" ref="Z2:Z7" si="0">IF(B9="Yes",A9,"")</f>
        <v/>
      </c>
      <c r="AA2" s="79" t="str">
        <f t="shared" ref="AA2:AA7" si="1">IF(B9="Yes",E9,"")</f>
        <v/>
      </c>
      <c r="AB2" s="79" t="str">
        <f>IF(B9="Yes",F9*H9,"")</f>
        <v/>
      </c>
    </row>
    <row r="3" spans="1:29" ht="25.2" customHeight="1" thickBot="1" x14ac:dyDescent="0.35">
      <c r="A3" s="463" t="s">
        <v>274</v>
      </c>
      <c r="B3" s="464"/>
      <c r="C3" s="136" t="s">
        <v>29</v>
      </c>
      <c r="D3" s="460" t="s">
        <v>298</v>
      </c>
      <c r="E3" s="461"/>
      <c r="F3" s="461"/>
      <c r="G3" s="461"/>
      <c r="H3" s="461"/>
      <c r="I3" s="462"/>
      <c r="J3" s="231"/>
      <c r="K3" s="214" t="s">
        <v>102</v>
      </c>
      <c r="L3" s="215" t="s">
        <v>318</v>
      </c>
      <c r="M3" s="122" t="s">
        <v>323</v>
      </c>
      <c r="N3" s="113">
        <v>147.49</v>
      </c>
      <c r="O3" s="111">
        <v>235.99</v>
      </c>
      <c r="P3" s="111">
        <v>318.58999999999997</v>
      </c>
      <c r="Q3" s="115">
        <f t="shared" ref="Q3:Q8" si="2">COUNTIF($A$4:$A$6,L3)</f>
        <v>0</v>
      </c>
      <c r="R3" s="116">
        <f t="shared" ref="R3:R8" si="3">SUMIF($A$4:$A$6,L3,$C$4:$C$6)</f>
        <v>0</v>
      </c>
      <c r="S3" s="130">
        <f t="shared" ref="S3:S33" si="4">IF($X$1="",0,IF($X$1="Non-Industry",N3,IF($X$1="Industry",O3,P3)))</f>
        <v>0</v>
      </c>
      <c r="T3" s="116"/>
      <c r="U3" s="116"/>
      <c r="V3" s="132">
        <f t="shared" ref="V3:V8" si="5">Q3*R3*S3</f>
        <v>0</v>
      </c>
      <c r="W3" s="114"/>
      <c r="Y3" s="147"/>
      <c r="Z3" s="77" t="str">
        <f t="shared" si="0"/>
        <v/>
      </c>
      <c r="AA3" s="109" t="str">
        <f t="shared" si="1"/>
        <v/>
      </c>
      <c r="AB3" s="77" t="str">
        <f t="shared" ref="AB3:AB10" si="6">IF(B10="Yes",F10*H10,"")</f>
        <v/>
      </c>
      <c r="AC3" s="12"/>
    </row>
    <row r="4" spans="1:29" ht="27.45" customHeight="1" thickBot="1" x14ac:dyDescent="0.35">
      <c r="A4" s="410"/>
      <c r="B4" s="411"/>
      <c r="C4" s="167"/>
      <c r="D4" s="449"/>
      <c r="E4" s="450"/>
      <c r="F4" s="450"/>
      <c r="G4" s="450"/>
      <c r="H4" s="450"/>
      <c r="I4" s="451"/>
      <c r="J4" s="231"/>
      <c r="K4" s="214" t="s">
        <v>102</v>
      </c>
      <c r="L4" s="215" t="s">
        <v>104</v>
      </c>
      <c r="M4" s="122" t="s">
        <v>324</v>
      </c>
      <c r="N4" s="113">
        <v>3.39</v>
      </c>
      <c r="O4" s="250">
        <v>5.42</v>
      </c>
      <c r="P4" s="251">
        <v>7.32</v>
      </c>
      <c r="Q4" s="115">
        <f t="shared" si="2"/>
        <v>0</v>
      </c>
      <c r="R4" s="116">
        <f t="shared" si="3"/>
        <v>0</v>
      </c>
      <c r="S4" s="130">
        <f t="shared" si="4"/>
        <v>0</v>
      </c>
      <c r="T4" s="116"/>
      <c r="U4" s="116"/>
      <c r="V4" s="132">
        <f t="shared" si="5"/>
        <v>0</v>
      </c>
      <c r="W4" s="114"/>
      <c r="Y4" s="147"/>
      <c r="Z4" s="77" t="str">
        <f t="shared" si="0"/>
        <v/>
      </c>
      <c r="AA4" s="109" t="str">
        <f t="shared" si="1"/>
        <v/>
      </c>
      <c r="AB4" s="77" t="str">
        <f t="shared" si="6"/>
        <v/>
      </c>
    </row>
    <row r="5" spans="1:29" ht="27.45" customHeight="1" thickBot="1" x14ac:dyDescent="0.35">
      <c r="A5" s="471"/>
      <c r="B5" s="426"/>
      <c r="C5" s="168"/>
      <c r="D5" s="452"/>
      <c r="E5" s="453"/>
      <c r="F5" s="453"/>
      <c r="G5" s="453"/>
      <c r="H5" s="453"/>
      <c r="I5" s="423"/>
      <c r="J5" s="231"/>
      <c r="K5" s="214" t="s">
        <v>102</v>
      </c>
      <c r="L5" s="215" t="s">
        <v>319</v>
      </c>
      <c r="M5" s="122" t="s">
        <v>325</v>
      </c>
      <c r="N5" s="113">
        <v>96.72</v>
      </c>
      <c r="O5" s="111">
        <v>130.57</v>
      </c>
      <c r="P5" s="111">
        <v>176.27</v>
      </c>
      <c r="Q5" s="115">
        <f t="shared" si="2"/>
        <v>0</v>
      </c>
      <c r="R5" s="116">
        <f t="shared" si="3"/>
        <v>0</v>
      </c>
      <c r="S5" s="130">
        <f t="shared" si="4"/>
        <v>0</v>
      </c>
      <c r="T5" s="116"/>
      <c r="U5" s="116"/>
      <c r="V5" s="132">
        <f t="shared" si="5"/>
        <v>0</v>
      </c>
      <c r="W5" s="114"/>
      <c r="Y5" s="147"/>
      <c r="Z5" s="77" t="str">
        <f t="shared" si="0"/>
        <v/>
      </c>
      <c r="AA5" s="109" t="str">
        <f t="shared" si="1"/>
        <v/>
      </c>
      <c r="AB5" s="77" t="str">
        <f t="shared" si="6"/>
        <v/>
      </c>
    </row>
    <row r="6" spans="1:29" ht="27.45" customHeight="1" thickBot="1" x14ac:dyDescent="0.35">
      <c r="A6" s="472"/>
      <c r="B6" s="429"/>
      <c r="C6" s="169"/>
      <c r="D6" s="454"/>
      <c r="E6" s="455"/>
      <c r="F6" s="455"/>
      <c r="G6" s="455"/>
      <c r="H6" s="455"/>
      <c r="I6" s="456"/>
      <c r="J6" s="232"/>
      <c r="K6" s="214" t="s">
        <v>102</v>
      </c>
      <c r="L6" s="215" t="s">
        <v>320</v>
      </c>
      <c r="M6" s="122" t="s">
        <v>326</v>
      </c>
      <c r="N6" s="113">
        <v>6.75</v>
      </c>
      <c r="O6" s="111">
        <v>9.11</v>
      </c>
      <c r="P6" s="111">
        <v>12.3</v>
      </c>
      <c r="Q6" s="115">
        <f t="shared" si="2"/>
        <v>0</v>
      </c>
      <c r="R6" s="116">
        <f t="shared" si="3"/>
        <v>0</v>
      </c>
      <c r="S6" s="130">
        <f t="shared" si="4"/>
        <v>0</v>
      </c>
      <c r="T6" s="116"/>
      <c r="U6" s="116"/>
      <c r="V6" s="132">
        <f t="shared" si="5"/>
        <v>0</v>
      </c>
      <c r="W6" s="114"/>
      <c r="Y6" s="147"/>
      <c r="Z6" s="77" t="str">
        <f t="shared" si="0"/>
        <v/>
      </c>
      <c r="AA6" s="109" t="str">
        <f t="shared" si="1"/>
        <v/>
      </c>
      <c r="AB6" s="77" t="str">
        <f t="shared" si="6"/>
        <v/>
      </c>
    </row>
    <row r="7" spans="1:29" ht="27.45" customHeight="1" thickBot="1" x14ac:dyDescent="0.4">
      <c r="A7" s="457" t="s">
        <v>250</v>
      </c>
      <c r="B7" s="458"/>
      <c r="C7" s="458"/>
      <c r="D7" s="459"/>
      <c r="E7" s="459"/>
      <c r="F7" s="459"/>
      <c r="G7" s="459"/>
      <c r="H7" s="459"/>
      <c r="I7" s="318"/>
      <c r="J7" s="231"/>
      <c r="K7" s="214" t="s">
        <v>102</v>
      </c>
      <c r="L7" s="215" t="s">
        <v>321</v>
      </c>
      <c r="M7" s="122" t="s">
        <v>327</v>
      </c>
      <c r="N7" s="113">
        <v>9.26</v>
      </c>
      <c r="O7" s="111">
        <v>12.5</v>
      </c>
      <c r="P7" s="111">
        <v>16.88</v>
      </c>
      <c r="Q7" s="115">
        <f t="shared" si="2"/>
        <v>0</v>
      </c>
      <c r="R7" s="116">
        <f t="shared" si="3"/>
        <v>0</v>
      </c>
      <c r="S7" s="130">
        <f t="shared" si="4"/>
        <v>0</v>
      </c>
      <c r="T7" s="116"/>
      <c r="U7" s="116"/>
      <c r="V7" s="132">
        <f t="shared" si="5"/>
        <v>0</v>
      </c>
      <c r="W7" s="114"/>
      <c r="Y7" s="147"/>
      <c r="Z7" s="77" t="str">
        <f t="shared" si="0"/>
        <v/>
      </c>
      <c r="AA7" s="109" t="str">
        <f t="shared" si="1"/>
        <v/>
      </c>
      <c r="AB7" s="77" t="str">
        <f t="shared" si="6"/>
        <v/>
      </c>
    </row>
    <row r="8" spans="1:29" ht="66.599999999999994" customHeight="1" thickBot="1" x14ac:dyDescent="0.35">
      <c r="A8" s="208" t="s">
        <v>304</v>
      </c>
      <c r="B8" s="134" t="s">
        <v>300</v>
      </c>
      <c r="C8" s="468" t="s">
        <v>275</v>
      </c>
      <c r="D8" s="469"/>
      <c r="E8" s="204" t="s">
        <v>308</v>
      </c>
      <c r="F8" s="204" t="s">
        <v>311</v>
      </c>
      <c r="G8" s="235" t="s">
        <v>309</v>
      </c>
      <c r="H8" s="209" t="s">
        <v>251</v>
      </c>
      <c r="I8" s="247" t="s">
        <v>336</v>
      </c>
      <c r="J8" s="238"/>
      <c r="K8" s="214" t="s">
        <v>102</v>
      </c>
      <c r="L8" s="215" t="s">
        <v>322</v>
      </c>
      <c r="M8" s="122" t="s">
        <v>328</v>
      </c>
      <c r="N8" s="123">
        <v>5</v>
      </c>
      <c r="O8" s="117">
        <v>6.75</v>
      </c>
      <c r="P8" s="117">
        <v>9.11</v>
      </c>
      <c r="Q8" s="118">
        <f t="shared" si="2"/>
        <v>0</v>
      </c>
      <c r="R8" s="119">
        <f t="shared" si="3"/>
        <v>0</v>
      </c>
      <c r="S8" s="131">
        <f t="shared" si="4"/>
        <v>0</v>
      </c>
      <c r="T8" s="119"/>
      <c r="U8" s="119"/>
      <c r="V8" s="133">
        <f t="shared" si="5"/>
        <v>0</v>
      </c>
      <c r="W8" s="114"/>
      <c r="Y8" s="147"/>
      <c r="Z8" s="77" t="str">
        <f>IF(B15="Yes",A15,"")</f>
        <v/>
      </c>
      <c r="AA8" s="109" t="str">
        <f>IF(B15="Yes",E15,"")</f>
        <v/>
      </c>
      <c r="AB8" s="77" t="str">
        <f t="shared" si="6"/>
        <v/>
      </c>
    </row>
    <row r="9" spans="1:29" ht="27.45" customHeight="1" thickBot="1" x14ac:dyDescent="0.35">
      <c r="A9" s="226" t="str">
        <f>'Services &amp; Meds'!AA12</f>
        <v/>
      </c>
      <c r="B9" s="227" t="str">
        <f>AB12</f>
        <v/>
      </c>
      <c r="C9" s="470"/>
      <c r="D9" s="451"/>
      <c r="E9" s="205"/>
      <c r="F9" s="240"/>
      <c r="G9" s="241"/>
      <c r="H9" s="242"/>
      <c r="I9" s="170"/>
      <c r="J9" s="249">
        <f>G9*H9</f>
        <v>0</v>
      </c>
      <c r="K9" s="216" t="s">
        <v>106</v>
      </c>
      <c r="L9" s="217" t="s">
        <v>117</v>
      </c>
      <c r="M9" s="218" t="s">
        <v>329</v>
      </c>
      <c r="N9" s="113">
        <v>27.1</v>
      </c>
      <c r="O9" s="111">
        <v>36.590000000000003</v>
      </c>
      <c r="P9" s="111">
        <v>49.4</v>
      </c>
      <c r="Q9" s="115">
        <f t="shared" ref="Q9:Q16" si="7">COUNTIF($C$9:$D$17,L9)</f>
        <v>0</v>
      </c>
      <c r="R9" s="116">
        <f t="shared" ref="R9:R16" ca="1" si="8">SUMIF($C$9:$D$17,L9,$J$9:$J$17)</f>
        <v>0</v>
      </c>
      <c r="S9" s="130">
        <f t="shared" si="4"/>
        <v>0</v>
      </c>
      <c r="T9" s="116">
        <f t="shared" ref="T9:T16" ca="1" si="9">SUMIF($C$9:$D$17,L9,$G$9:$G$17)</f>
        <v>0</v>
      </c>
      <c r="U9" s="116">
        <f t="shared" ref="U9:U16" si="10">IF(Q9=0,0,(SUMIF($C$9:$D$17,L9,$H$9:$H$17))/Q9)</f>
        <v>0</v>
      </c>
      <c r="V9" s="132">
        <f t="shared" ref="V9:V22" ca="1" si="11">R9*S9</f>
        <v>0</v>
      </c>
      <c r="W9" s="114"/>
      <c r="Y9" s="147"/>
      <c r="Z9" s="77" t="str">
        <f>IF(B16="Yes",A16,"")</f>
        <v/>
      </c>
      <c r="AA9" s="109" t="str">
        <f>IF(B16="Yes",E16,"")</f>
        <v/>
      </c>
      <c r="AB9" s="77" t="str">
        <f t="shared" si="6"/>
        <v/>
      </c>
    </row>
    <row r="10" spans="1:29" ht="27.45" customHeight="1" thickBot="1" x14ac:dyDescent="0.35">
      <c r="A10" s="226" t="str">
        <f>'Services &amp; Meds'!AA13</f>
        <v/>
      </c>
      <c r="B10" s="228" t="str">
        <f t="shared" ref="B10:B17" si="12">AB13</f>
        <v/>
      </c>
      <c r="C10" s="407"/>
      <c r="D10" s="423"/>
      <c r="E10" s="206"/>
      <c r="F10" s="243"/>
      <c r="G10" s="244"/>
      <c r="H10" s="242"/>
      <c r="I10" s="171"/>
      <c r="J10" s="249">
        <f t="shared" ref="J10:J17" si="13">G10*H10</f>
        <v>0</v>
      </c>
      <c r="K10" s="216" t="s">
        <v>106</v>
      </c>
      <c r="L10" s="217" t="s">
        <v>115</v>
      </c>
      <c r="M10" s="218" t="s">
        <v>330</v>
      </c>
      <c r="N10" s="113">
        <v>39.65</v>
      </c>
      <c r="O10" s="111">
        <v>53.53</v>
      </c>
      <c r="P10" s="111">
        <v>72.27</v>
      </c>
      <c r="Q10" s="115">
        <f t="shared" si="7"/>
        <v>0</v>
      </c>
      <c r="R10" s="116">
        <f t="shared" ca="1" si="8"/>
        <v>0</v>
      </c>
      <c r="S10" s="130">
        <f t="shared" si="4"/>
        <v>0</v>
      </c>
      <c r="T10" s="116">
        <f ca="1">SUMIF($C$9:$D$17,L10,$G$9:$G$17)</f>
        <v>0</v>
      </c>
      <c r="U10" s="116">
        <f>IF(Q10=0,0,(SUMIF($C$9:$D$17,L10,$H$9:$H$17))/Q10)</f>
        <v>0</v>
      </c>
      <c r="V10" s="132">
        <f ca="1">R10*S10</f>
        <v>0</v>
      </c>
      <c r="W10" s="114"/>
      <c r="Y10" s="147"/>
      <c r="Z10" s="108" t="str">
        <f>IF(B17="Yes",A17,"")</f>
        <v/>
      </c>
      <c r="AA10" s="146" t="str">
        <f>IF(B17="Yes",E17,"")</f>
        <v/>
      </c>
      <c r="AB10" s="108" t="str">
        <f t="shared" si="6"/>
        <v/>
      </c>
    </row>
    <row r="11" spans="1:29" ht="27.45" customHeight="1" thickBot="1" x14ac:dyDescent="0.35">
      <c r="A11" s="226" t="str">
        <f>'Services &amp; Meds'!AA14</f>
        <v/>
      </c>
      <c r="B11" s="229" t="str">
        <f t="shared" si="12"/>
        <v/>
      </c>
      <c r="C11" s="407"/>
      <c r="D11" s="423"/>
      <c r="E11" s="206"/>
      <c r="F11" s="243"/>
      <c r="G11" s="244"/>
      <c r="H11" s="244"/>
      <c r="I11" s="171"/>
      <c r="J11" s="249">
        <f t="shared" si="13"/>
        <v>0</v>
      </c>
      <c r="K11" s="216" t="s">
        <v>106</v>
      </c>
      <c r="L11" s="217" t="s">
        <v>114</v>
      </c>
      <c r="M11" s="218" t="s">
        <v>331</v>
      </c>
      <c r="N11" s="113">
        <v>56.88</v>
      </c>
      <c r="O11" s="111">
        <v>76.790000000000006</v>
      </c>
      <c r="P11" s="111">
        <v>103.67</v>
      </c>
      <c r="Q11" s="115">
        <f t="shared" si="7"/>
        <v>0</v>
      </c>
      <c r="R11" s="116">
        <f t="shared" ca="1" si="8"/>
        <v>0</v>
      </c>
      <c r="S11" s="130">
        <f t="shared" si="4"/>
        <v>0</v>
      </c>
      <c r="T11" s="116">
        <f t="shared" ca="1" si="9"/>
        <v>0</v>
      </c>
      <c r="U11" s="116">
        <f t="shared" si="10"/>
        <v>0</v>
      </c>
      <c r="V11" s="132">
        <f t="shared" ca="1" si="11"/>
        <v>0</v>
      </c>
      <c r="W11" s="114"/>
      <c r="Z11" s="12"/>
      <c r="AA11" s="12"/>
      <c r="AB11" s="159"/>
    </row>
    <row r="12" spans="1:29" ht="27.45" customHeight="1" thickBot="1" x14ac:dyDescent="0.35">
      <c r="A12" s="226" t="str">
        <f>'Services &amp; Meds'!AA15</f>
        <v/>
      </c>
      <c r="B12" s="228" t="str">
        <f t="shared" si="12"/>
        <v/>
      </c>
      <c r="C12" s="407"/>
      <c r="D12" s="423"/>
      <c r="E12" s="206"/>
      <c r="F12" s="243"/>
      <c r="G12" s="244"/>
      <c r="H12" s="242"/>
      <c r="I12" s="171"/>
      <c r="J12" s="249">
        <f t="shared" si="13"/>
        <v>0</v>
      </c>
      <c r="K12" s="216" t="s">
        <v>106</v>
      </c>
      <c r="L12" s="217" t="s">
        <v>126</v>
      </c>
      <c r="M12" s="218" t="s">
        <v>332</v>
      </c>
      <c r="N12" s="113">
        <v>63.43</v>
      </c>
      <c r="O12" s="111">
        <v>85.63</v>
      </c>
      <c r="P12" s="111">
        <v>115.6</v>
      </c>
      <c r="Q12" s="115">
        <f t="shared" si="7"/>
        <v>0</v>
      </c>
      <c r="R12" s="116">
        <f t="shared" ca="1" si="8"/>
        <v>0</v>
      </c>
      <c r="S12" s="130">
        <f t="shared" si="4"/>
        <v>0</v>
      </c>
      <c r="T12" s="116">
        <f t="shared" ca="1" si="9"/>
        <v>0</v>
      </c>
      <c r="U12" s="116">
        <f t="shared" si="10"/>
        <v>0</v>
      </c>
      <c r="V12" s="132">
        <f t="shared" ca="1" si="11"/>
        <v>0</v>
      </c>
      <c r="W12" s="114"/>
      <c r="Z12" t="str">
        <f>IF(SUM('Protocol Cover Sheet'!$O$27:$O$35)&gt;0,1,"")</f>
        <v/>
      </c>
      <c r="AA12" s="225" t="str">
        <f>IF(Z12="","",VLOOKUP(Z12,'Protocol Cover Sheet'!$O$27:$Q$35,3,FALSE))</f>
        <v/>
      </c>
      <c r="AB12" s="225" t="str">
        <f>IF(Z12="","",'Protocol Cover Sheet'!G27)</f>
        <v/>
      </c>
    </row>
    <row r="13" spans="1:29" ht="27.45" customHeight="1" thickBot="1" x14ac:dyDescent="0.35">
      <c r="A13" s="226" t="str">
        <f>'Services &amp; Meds'!AA16</f>
        <v/>
      </c>
      <c r="B13" s="229" t="str">
        <f t="shared" si="12"/>
        <v/>
      </c>
      <c r="C13" s="407"/>
      <c r="D13" s="423"/>
      <c r="E13" s="210"/>
      <c r="F13" s="243"/>
      <c r="G13" s="244"/>
      <c r="H13" s="242"/>
      <c r="I13" s="171"/>
      <c r="J13" s="249">
        <f t="shared" si="13"/>
        <v>0</v>
      </c>
      <c r="K13" s="216" t="s">
        <v>106</v>
      </c>
      <c r="L13" s="217" t="s">
        <v>125</v>
      </c>
      <c r="M13" s="218" t="s">
        <v>333</v>
      </c>
      <c r="N13" s="113">
        <v>79.28</v>
      </c>
      <c r="O13" s="111">
        <v>107.03</v>
      </c>
      <c r="P13" s="111">
        <v>144.49</v>
      </c>
      <c r="Q13" s="115">
        <f t="shared" si="7"/>
        <v>0</v>
      </c>
      <c r="R13" s="116">
        <f t="shared" ca="1" si="8"/>
        <v>0</v>
      </c>
      <c r="S13" s="130">
        <f t="shared" si="4"/>
        <v>0</v>
      </c>
      <c r="T13" s="116">
        <f t="shared" ca="1" si="9"/>
        <v>0</v>
      </c>
      <c r="U13" s="116">
        <f t="shared" si="10"/>
        <v>0</v>
      </c>
      <c r="V13" s="132">
        <f t="shared" ca="1" si="11"/>
        <v>0</v>
      </c>
      <c r="W13" s="114"/>
      <c r="Z13" t="str">
        <f>IF(SUM('Protocol Cover Sheet'!$O$27:$O$35)&gt;2,2,"")</f>
        <v/>
      </c>
      <c r="AA13" s="225" t="str">
        <f>IF(Z13="","",VLOOKUP(Z13,'Protocol Cover Sheet'!$O$27:$Q$35,3,FALSE))</f>
        <v/>
      </c>
      <c r="AB13" s="225" t="str">
        <f>IF(Z13="","",'Protocol Cover Sheet'!G28)</f>
        <v/>
      </c>
    </row>
    <row r="14" spans="1:29" ht="35.4" customHeight="1" thickBot="1" x14ac:dyDescent="0.35">
      <c r="A14" s="226" t="str">
        <f>'Services &amp; Meds'!AA17</f>
        <v/>
      </c>
      <c r="B14" s="228" t="str">
        <f t="shared" si="12"/>
        <v/>
      </c>
      <c r="C14" s="407"/>
      <c r="D14" s="423"/>
      <c r="E14" s="210"/>
      <c r="F14" s="243"/>
      <c r="G14" s="244"/>
      <c r="H14" s="242"/>
      <c r="I14" s="171"/>
      <c r="J14" s="249">
        <f t="shared" si="13"/>
        <v>0</v>
      </c>
      <c r="K14" s="216" t="s">
        <v>106</v>
      </c>
      <c r="L14" s="217" t="s">
        <v>124</v>
      </c>
      <c r="M14" s="218" t="s">
        <v>334</v>
      </c>
      <c r="N14" s="113">
        <v>145.53</v>
      </c>
      <c r="O14" s="111">
        <v>196.47</v>
      </c>
      <c r="P14" s="111">
        <v>265.23</v>
      </c>
      <c r="Q14" s="115">
        <f t="shared" si="7"/>
        <v>0</v>
      </c>
      <c r="R14" s="116">
        <f t="shared" ca="1" si="8"/>
        <v>0</v>
      </c>
      <c r="S14" s="130">
        <f t="shared" si="4"/>
        <v>0</v>
      </c>
      <c r="T14" s="116">
        <f t="shared" ca="1" si="9"/>
        <v>0</v>
      </c>
      <c r="U14" s="116">
        <f t="shared" si="10"/>
        <v>0</v>
      </c>
      <c r="V14" s="132">
        <f t="shared" ca="1" si="11"/>
        <v>0</v>
      </c>
      <c r="W14" s="114"/>
      <c r="Z14" t="str">
        <f>IF(SUM('Protocol Cover Sheet'!$O$27:$O$35)&gt;5,3,"")</f>
        <v/>
      </c>
      <c r="AA14" s="225" t="str">
        <f>IF(Z14="","",VLOOKUP(Z14,'Protocol Cover Sheet'!$O$27:$Q$35,3,FALSE))</f>
        <v/>
      </c>
      <c r="AB14" s="225" t="str">
        <f>IF(Z14="","",'Protocol Cover Sheet'!G29)</f>
        <v/>
      </c>
    </row>
    <row r="15" spans="1:29" ht="27.45" customHeight="1" thickBot="1" x14ac:dyDescent="0.35">
      <c r="A15" s="226" t="str">
        <f>'Services &amp; Meds'!AA18</f>
        <v/>
      </c>
      <c r="B15" s="228" t="str">
        <f t="shared" si="12"/>
        <v/>
      </c>
      <c r="C15" s="407"/>
      <c r="D15" s="423"/>
      <c r="E15" s="206"/>
      <c r="F15" s="243"/>
      <c r="G15" s="244"/>
      <c r="H15" s="242"/>
      <c r="I15" s="171"/>
      <c r="J15" s="249">
        <f t="shared" si="13"/>
        <v>0</v>
      </c>
      <c r="K15" s="216" t="s">
        <v>106</v>
      </c>
      <c r="L15" s="217" t="s">
        <v>122</v>
      </c>
      <c r="M15" s="218" t="s">
        <v>335</v>
      </c>
      <c r="N15" s="113">
        <v>312.5</v>
      </c>
      <c r="O15" s="111">
        <v>421.88</v>
      </c>
      <c r="P15" s="111">
        <v>569.54</v>
      </c>
      <c r="Q15" s="115">
        <f t="shared" si="7"/>
        <v>0</v>
      </c>
      <c r="R15" s="116">
        <f t="shared" ca="1" si="8"/>
        <v>0</v>
      </c>
      <c r="S15" s="130">
        <f t="shared" si="4"/>
        <v>0</v>
      </c>
      <c r="T15" s="116">
        <f t="shared" ca="1" si="9"/>
        <v>0</v>
      </c>
      <c r="U15" s="116">
        <f t="shared" si="10"/>
        <v>0</v>
      </c>
      <c r="V15" s="132">
        <f t="shared" ca="1" si="11"/>
        <v>0</v>
      </c>
      <c r="W15" s="114"/>
      <c r="Z15" t="str">
        <f>IF(SUM('Protocol Cover Sheet'!$O$27:$O$35)&gt;9,4,"")</f>
        <v/>
      </c>
      <c r="AA15" s="225" t="str">
        <f>IF(Z15="","",VLOOKUP(Z15,'Protocol Cover Sheet'!$O$27:$Q$35,3,FALSE))</f>
        <v/>
      </c>
      <c r="AB15" s="225" t="str">
        <f>IF(Z15="","",'Protocol Cover Sheet'!G30)</f>
        <v/>
      </c>
    </row>
    <row r="16" spans="1:29" ht="27.45" customHeight="1" thickBot="1" x14ac:dyDescent="0.35">
      <c r="A16" s="226" t="str">
        <f>'Services &amp; Meds'!AA19</f>
        <v/>
      </c>
      <c r="B16" s="229" t="str">
        <f t="shared" si="12"/>
        <v/>
      </c>
      <c r="C16" s="407"/>
      <c r="D16" s="423"/>
      <c r="E16" s="206"/>
      <c r="F16" s="243"/>
      <c r="G16" s="244"/>
      <c r="H16" s="242"/>
      <c r="I16" s="171"/>
      <c r="J16" s="249">
        <f t="shared" si="13"/>
        <v>0</v>
      </c>
      <c r="K16" s="216" t="s">
        <v>106</v>
      </c>
      <c r="L16" s="217" t="s">
        <v>127</v>
      </c>
      <c r="M16" s="218" t="s">
        <v>233</v>
      </c>
      <c r="N16" s="123">
        <v>129.19999999999999</v>
      </c>
      <c r="O16" s="117">
        <v>174.42</v>
      </c>
      <c r="P16" s="117">
        <v>235.47</v>
      </c>
      <c r="Q16" s="118">
        <f t="shared" si="7"/>
        <v>0</v>
      </c>
      <c r="R16" s="119">
        <f t="shared" ca="1" si="8"/>
        <v>0</v>
      </c>
      <c r="S16" s="131">
        <f t="shared" si="4"/>
        <v>0</v>
      </c>
      <c r="T16" s="119">
        <f t="shared" ca="1" si="9"/>
        <v>0</v>
      </c>
      <c r="U16" s="119">
        <f t="shared" si="10"/>
        <v>0</v>
      </c>
      <c r="V16" s="133">
        <f t="shared" ca="1" si="11"/>
        <v>0</v>
      </c>
      <c r="W16" s="114"/>
      <c r="Z16" t="str">
        <f>IF(SUM('Protocol Cover Sheet'!$O$27:$O$35)&gt;14,5,"")</f>
        <v/>
      </c>
      <c r="AA16" s="225" t="str">
        <f>IF(Z16="","",VLOOKUP(Z16,'Protocol Cover Sheet'!$O$27:$Q$35,3,FALSE))</f>
        <v/>
      </c>
      <c r="AB16" s="225" t="str">
        <f>IF(Z16="","",'Protocol Cover Sheet'!G31)</f>
        <v/>
      </c>
    </row>
    <row r="17" spans="1:28" ht="27.45" customHeight="1" thickBot="1" x14ac:dyDescent="0.35">
      <c r="A17" s="226" t="str">
        <f>'Services &amp; Meds'!AA20</f>
        <v/>
      </c>
      <c r="B17" s="230" t="str">
        <f t="shared" si="12"/>
        <v/>
      </c>
      <c r="C17" s="430"/>
      <c r="D17" s="431"/>
      <c r="E17" s="207"/>
      <c r="F17" s="245"/>
      <c r="G17" s="246"/>
      <c r="H17" s="246"/>
      <c r="I17" s="172"/>
      <c r="J17" s="249">
        <f t="shared" si="13"/>
        <v>0</v>
      </c>
      <c r="K17" s="219" t="s">
        <v>266</v>
      </c>
      <c r="L17" s="220" t="s">
        <v>141</v>
      </c>
      <c r="M17" s="221" t="s">
        <v>234</v>
      </c>
      <c r="N17" s="113">
        <v>136.58000000000001</v>
      </c>
      <c r="O17" s="111">
        <v>184.38</v>
      </c>
      <c r="P17" s="111">
        <v>248.91</v>
      </c>
      <c r="Q17" s="115">
        <f t="shared" ref="Q17:Q23" si="14">COUNTIF($A$20:$B$23,L17)</f>
        <v>0</v>
      </c>
      <c r="R17" s="116">
        <f t="shared" ref="R17:R23" ca="1" si="15">SUMIF($A$20:$B$23,L17,$D$20:$D$23)</f>
        <v>0</v>
      </c>
      <c r="S17" s="130">
        <f t="shared" si="4"/>
        <v>0</v>
      </c>
      <c r="T17" s="116"/>
      <c r="U17" s="116"/>
      <c r="V17" s="132">
        <f t="shared" ca="1" si="11"/>
        <v>0</v>
      </c>
      <c r="W17" s="114"/>
      <c r="Z17" t="str">
        <f>IF(SUM('Protocol Cover Sheet'!$O$27:$O$35)&gt;20,6,"")</f>
        <v/>
      </c>
      <c r="AA17" s="225" t="str">
        <f>IF(Z17="","",VLOOKUP(Z17,'Protocol Cover Sheet'!$O$27:$Q$35,3,FALSE))</f>
        <v/>
      </c>
      <c r="AB17" s="225" t="str">
        <f>IF(Z17="","",'Protocol Cover Sheet'!G32)</f>
        <v/>
      </c>
    </row>
    <row r="18" spans="1:28" ht="27.45" customHeight="1" thickBot="1" x14ac:dyDescent="0.4">
      <c r="A18" s="445" t="s">
        <v>297</v>
      </c>
      <c r="B18" s="445"/>
      <c r="C18" s="445"/>
      <c r="D18" s="445"/>
      <c r="E18" s="445"/>
      <c r="F18" s="445"/>
      <c r="G18" s="445"/>
      <c r="H18" s="445"/>
      <c r="I18" s="446"/>
      <c r="J18" s="233"/>
      <c r="K18" s="219" t="s">
        <v>266</v>
      </c>
      <c r="L18" s="220" t="s">
        <v>143</v>
      </c>
      <c r="M18" s="221" t="s">
        <v>235</v>
      </c>
      <c r="N18" s="113">
        <v>136.58000000000001</v>
      </c>
      <c r="O18" s="111">
        <v>184.38</v>
      </c>
      <c r="P18" s="111">
        <v>248.91</v>
      </c>
      <c r="Q18" s="115">
        <f t="shared" si="14"/>
        <v>0</v>
      </c>
      <c r="R18" s="116">
        <f t="shared" ca="1" si="15"/>
        <v>0</v>
      </c>
      <c r="S18" s="130">
        <f t="shared" si="4"/>
        <v>0</v>
      </c>
      <c r="T18" s="116"/>
      <c r="U18" s="116"/>
      <c r="V18" s="132">
        <f t="shared" ca="1" si="11"/>
        <v>0</v>
      </c>
      <c r="W18" s="114"/>
      <c r="Z18" t="str">
        <f>IF(SUM('Protocol Cover Sheet'!$O$27:$O$35)&gt;27,7,"")</f>
        <v/>
      </c>
      <c r="AA18" s="225" t="str">
        <f>IF(Z18="","",VLOOKUP(Z18,'Protocol Cover Sheet'!$O$27:$Q$35,3,FALSE))</f>
        <v/>
      </c>
      <c r="AB18" s="225" t="str">
        <f>IF(Z18="","",'Protocol Cover Sheet'!G33)</f>
        <v/>
      </c>
    </row>
    <row r="19" spans="1:28" ht="27.45" customHeight="1" thickBot="1" x14ac:dyDescent="0.35">
      <c r="A19" s="432" t="s">
        <v>276</v>
      </c>
      <c r="B19" s="433"/>
      <c r="C19" s="434"/>
      <c r="D19" s="107" t="s">
        <v>267</v>
      </c>
      <c r="E19" s="447" t="s">
        <v>277</v>
      </c>
      <c r="F19" s="448"/>
      <c r="G19" s="448"/>
      <c r="H19" s="448"/>
      <c r="I19" s="413"/>
      <c r="J19" s="231"/>
      <c r="K19" s="219" t="s">
        <v>266</v>
      </c>
      <c r="L19" s="220" t="s">
        <v>145</v>
      </c>
      <c r="M19" s="221" t="s">
        <v>236</v>
      </c>
      <c r="N19" s="113">
        <v>71.55</v>
      </c>
      <c r="O19" s="111">
        <v>96.59</v>
      </c>
      <c r="P19" s="111">
        <v>130.4</v>
      </c>
      <c r="Q19" s="115">
        <f t="shared" si="14"/>
        <v>0</v>
      </c>
      <c r="R19" s="116">
        <f t="shared" ca="1" si="15"/>
        <v>0</v>
      </c>
      <c r="S19" s="130">
        <f t="shared" si="4"/>
        <v>0</v>
      </c>
      <c r="T19" s="116"/>
      <c r="U19" s="116"/>
      <c r="V19" s="132">
        <f t="shared" ca="1" si="11"/>
        <v>0</v>
      </c>
      <c r="W19" s="114"/>
      <c r="Z19" t="str">
        <f>IF(SUM('Protocol Cover Sheet'!$O$27:$O$35)&gt;35,8,"")</f>
        <v/>
      </c>
      <c r="AA19" s="225" t="str">
        <f>IF(Z19="","",VLOOKUP(Z19,'Protocol Cover Sheet'!$O$27:$Q$35,3,FALSE))</f>
        <v/>
      </c>
      <c r="AB19" s="225" t="str">
        <f>IF(Z19="","",'Protocol Cover Sheet'!G34)</f>
        <v/>
      </c>
    </row>
    <row r="20" spans="1:28" ht="27.45" customHeight="1" thickBot="1" x14ac:dyDescent="0.35">
      <c r="A20" s="435"/>
      <c r="B20" s="436"/>
      <c r="C20" s="437"/>
      <c r="D20" s="167"/>
      <c r="E20" s="449"/>
      <c r="F20" s="450"/>
      <c r="G20" s="450"/>
      <c r="H20" s="450"/>
      <c r="I20" s="451"/>
      <c r="J20" s="231"/>
      <c r="K20" s="219" t="s">
        <v>266</v>
      </c>
      <c r="L20" s="220" t="s">
        <v>338</v>
      </c>
      <c r="M20" s="221" t="s">
        <v>237</v>
      </c>
      <c r="N20" s="113">
        <v>121.57</v>
      </c>
      <c r="O20" s="111">
        <v>164.12</v>
      </c>
      <c r="P20" s="111">
        <v>221.56</v>
      </c>
      <c r="Q20" s="115">
        <f t="shared" si="14"/>
        <v>0</v>
      </c>
      <c r="R20" s="116">
        <f t="shared" ca="1" si="15"/>
        <v>0</v>
      </c>
      <c r="S20" s="130">
        <f t="shared" si="4"/>
        <v>0</v>
      </c>
      <c r="T20" s="116"/>
      <c r="U20" s="116"/>
      <c r="V20" s="132">
        <f t="shared" ca="1" si="11"/>
        <v>0</v>
      </c>
      <c r="W20" s="114"/>
      <c r="Z20" t="str">
        <f>IF(SUM('Protocol Cover Sheet'!$O$27:$O$35)&gt;44,9,"")</f>
        <v/>
      </c>
      <c r="AA20" s="225" t="str">
        <f>IF(Z20="","",VLOOKUP(Z20,'Protocol Cover Sheet'!$O$27:$Q$35,3,FALSE))</f>
        <v/>
      </c>
      <c r="AB20" s="225" t="str">
        <f>IF(Z20="","",'Protocol Cover Sheet'!G35)</f>
        <v/>
      </c>
    </row>
    <row r="21" spans="1:28" ht="27.45" customHeight="1" thickBot="1" x14ac:dyDescent="0.35">
      <c r="A21" s="424"/>
      <c r="B21" s="425"/>
      <c r="C21" s="426"/>
      <c r="D21" s="168"/>
      <c r="E21" s="452"/>
      <c r="F21" s="453"/>
      <c r="G21" s="453"/>
      <c r="H21" s="453"/>
      <c r="I21" s="423"/>
      <c r="J21" s="231"/>
      <c r="K21" s="219" t="s">
        <v>266</v>
      </c>
      <c r="L21" s="220" t="s">
        <v>150</v>
      </c>
      <c r="M21" s="221" t="s">
        <v>238</v>
      </c>
      <c r="N21" s="113">
        <v>64.900000000000006</v>
      </c>
      <c r="O21" s="111">
        <v>87.62</v>
      </c>
      <c r="P21" s="111">
        <v>118.29</v>
      </c>
      <c r="Q21" s="115">
        <f t="shared" si="14"/>
        <v>0</v>
      </c>
      <c r="R21" s="116">
        <f t="shared" ca="1" si="15"/>
        <v>0</v>
      </c>
      <c r="S21" s="130">
        <f t="shared" si="4"/>
        <v>0</v>
      </c>
      <c r="T21" s="116"/>
      <c r="U21" s="116"/>
      <c r="V21" s="132">
        <f t="shared" ca="1" si="11"/>
        <v>0</v>
      </c>
      <c r="W21" s="114"/>
    </row>
    <row r="22" spans="1:28" ht="27.45" customHeight="1" thickBot="1" x14ac:dyDescent="0.35">
      <c r="A22" s="424"/>
      <c r="B22" s="425"/>
      <c r="C22" s="426"/>
      <c r="D22" s="168"/>
      <c r="E22" s="452"/>
      <c r="F22" s="453"/>
      <c r="G22" s="453"/>
      <c r="H22" s="453"/>
      <c r="I22" s="423"/>
      <c r="J22" s="231"/>
      <c r="K22" s="219" t="s">
        <v>266</v>
      </c>
      <c r="L22" s="220" t="s">
        <v>339</v>
      </c>
      <c r="M22" s="221" t="s">
        <v>341</v>
      </c>
      <c r="N22" s="113">
        <v>211.35</v>
      </c>
      <c r="O22" s="250">
        <v>285.32</v>
      </c>
      <c r="P22" s="251">
        <v>385.18</v>
      </c>
      <c r="Q22" s="115">
        <f t="shared" si="14"/>
        <v>0</v>
      </c>
      <c r="R22" s="116">
        <f t="shared" ca="1" si="15"/>
        <v>0</v>
      </c>
      <c r="S22" s="130">
        <f t="shared" si="4"/>
        <v>0</v>
      </c>
      <c r="T22" s="115"/>
      <c r="U22" s="252"/>
      <c r="V22" s="132">
        <f t="shared" ca="1" si="11"/>
        <v>0</v>
      </c>
      <c r="W22" s="114"/>
    </row>
    <row r="23" spans="1:28" ht="27.45" customHeight="1" thickBot="1" x14ac:dyDescent="0.35">
      <c r="A23" s="427"/>
      <c r="B23" s="428"/>
      <c r="C23" s="429"/>
      <c r="D23" s="173"/>
      <c r="E23" s="454"/>
      <c r="F23" s="455"/>
      <c r="G23" s="455"/>
      <c r="H23" s="455"/>
      <c r="I23" s="456"/>
      <c r="J23" s="231"/>
      <c r="K23" s="219" t="s">
        <v>266</v>
      </c>
      <c r="L23" s="220" t="s">
        <v>154</v>
      </c>
      <c r="M23" s="221" t="s">
        <v>239</v>
      </c>
      <c r="N23" s="113">
        <v>158.41999999999999</v>
      </c>
      <c r="O23" s="111">
        <v>213.87</v>
      </c>
      <c r="P23" s="111">
        <v>288.72000000000003</v>
      </c>
      <c r="Q23" s="115">
        <f t="shared" si="14"/>
        <v>0</v>
      </c>
      <c r="R23" s="116">
        <f t="shared" ca="1" si="15"/>
        <v>0</v>
      </c>
      <c r="S23" s="130">
        <f t="shared" si="4"/>
        <v>0</v>
      </c>
      <c r="T23" s="116"/>
      <c r="U23" s="116"/>
      <c r="V23" s="132">
        <f ca="1">Q23*R23*S23</f>
        <v>0</v>
      </c>
      <c r="W23" s="114"/>
    </row>
    <row r="24" spans="1:28" ht="27.45" customHeight="1" thickBot="1" x14ac:dyDescent="0.4">
      <c r="A24" s="442" t="s">
        <v>343</v>
      </c>
      <c r="B24" s="443"/>
      <c r="C24" s="443"/>
      <c r="D24" s="443"/>
      <c r="E24" s="444"/>
      <c r="F24" s="444"/>
      <c r="G24" s="444"/>
      <c r="H24" s="444"/>
      <c r="I24" s="318"/>
      <c r="J24" s="231"/>
      <c r="K24" s="219" t="s">
        <v>266</v>
      </c>
      <c r="L24" s="220" t="s">
        <v>155</v>
      </c>
      <c r="M24" s="221" t="s">
        <v>240</v>
      </c>
      <c r="N24" s="113">
        <v>158.06</v>
      </c>
      <c r="O24" s="111">
        <v>213.38</v>
      </c>
      <c r="P24" s="111">
        <v>288.06</v>
      </c>
      <c r="Q24" s="115">
        <f t="shared" ref="Q24:Q25" si="16">COUNTIF($A$20:$B$23,L24)</f>
        <v>0</v>
      </c>
      <c r="R24" s="116">
        <f t="shared" ref="R24:R25" ca="1" si="17">SUMIF($A$20:$B$23,L24,$D$20:$D$23)</f>
        <v>0</v>
      </c>
      <c r="S24" s="130">
        <f t="shared" si="4"/>
        <v>0</v>
      </c>
      <c r="T24" s="115"/>
      <c r="U24" s="116"/>
      <c r="V24" s="132">
        <f t="shared" ref="V24:V30" ca="1" si="18">Q24*R24*S24</f>
        <v>0</v>
      </c>
      <c r="W24" s="114"/>
    </row>
    <row r="25" spans="1:28" ht="27.45" customHeight="1" thickBot="1" x14ac:dyDescent="0.35">
      <c r="A25" s="438" t="s">
        <v>274</v>
      </c>
      <c r="B25" s="439"/>
      <c r="C25" s="434"/>
      <c r="D25" s="412"/>
      <c r="E25" s="413"/>
      <c r="F25" s="413"/>
      <c r="G25" s="413"/>
      <c r="H25" s="413"/>
      <c r="I25" s="414"/>
      <c r="J25" s="231"/>
      <c r="K25" s="219" t="s">
        <v>266</v>
      </c>
      <c r="L25" s="220" t="s">
        <v>340</v>
      </c>
      <c r="M25" s="221" t="s">
        <v>342</v>
      </c>
      <c r="N25" s="123">
        <v>1464.75</v>
      </c>
      <c r="O25" s="117">
        <v>1977.41</v>
      </c>
      <c r="P25" s="117">
        <v>2669.5</v>
      </c>
      <c r="Q25" s="118">
        <f t="shared" si="16"/>
        <v>0</v>
      </c>
      <c r="R25" s="119">
        <f t="shared" ca="1" si="17"/>
        <v>0</v>
      </c>
      <c r="S25" s="131">
        <f t="shared" si="4"/>
        <v>0</v>
      </c>
      <c r="T25" s="119"/>
      <c r="U25" s="120"/>
      <c r="V25" s="133">
        <f t="shared" ca="1" si="18"/>
        <v>0</v>
      </c>
      <c r="W25" s="114"/>
    </row>
    <row r="26" spans="1:28" ht="27.45" customHeight="1" thickBot="1" x14ac:dyDescent="0.35">
      <c r="A26" s="407"/>
      <c r="B26" s="408"/>
      <c r="C26" s="409"/>
      <c r="D26" s="415"/>
      <c r="E26" s="307"/>
      <c r="F26" s="307"/>
      <c r="G26" s="307"/>
      <c r="H26" s="307"/>
      <c r="I26" s="416"/>
      <c r="J26" s="231"/>
      <c r="K26" s="222" t="s">
        <v>140</v>
      </c>
      <c r="L26" s="223" t="s">
        <v>345</v>
      </c>
      <c r="M26" s="224" t="s">
        <v>344</v>
      </c>
      <c r="N26" s="113">
        <v>12.26</v>
      </c>
      <c r="O26" s="111">
        <v>16.55</v>
      </c>
      <c r="P26" s="111">
        <v>22.34</v>
      </c>
      <c r="Q26" s="115">
        <f>COUNTIF($A$26:$B$28,L26)</f>
        <v>0</v>
      </c>
      <c r="R26" s="116">
        <f>ROUND(IF(Q26&gt;0,('Protocol Cover Sheet'!$O$16/365)*12,0),0)</f>
        <v>0</v>
      </c>
      <c r="S26" s="130">
        <f t="shared" si="4"/>
        <v>0</v>
      </c>
      <c r="T26" s="116"/>
      <c r="U26" s="116"/>
      <c r="V26" s="132">
        <f t="shared" si="18"/>
        <v>0</v>
      </c>
      <c r="W26" s="114"/>
    </row>
    <row r="27" spans="1:28" ht="27.45" customHeight="1" x14ac:dyDescent="0.3">
      <c r="A27" s="407"/>
      <c r="B27" s="408"/>
      <c r="C27" s="409"/>
      <c r="D27" s="415"/>
      <c r="E27" s="325"/>
      <c r="F27" s="325"/>
      <c r="G27" s="325"/>
      <c r="H27" s="325"/>
      <c r="I27" s="416"/>
      <c r="J27" s="231"/>
      <c r="K27" s="254" t="s">
        <v>140</v>
      </c>
      <c r="L27" s="255" t="s">
        <v>162</v>
      </c>
      <c r="M27" s="256" t="s">
        <v>241</v>
      </c>
      <c r="N27" s="123">
        <v>51.53</v>
      </c>
      <c r="O27" s="117">
        <v>69.569999999999993</v>
      </c>
      <c r="P27" s="117">
        <v>93.92</v>
      </c>
      <c r="Q27" s="118">
        <f>COUNTIF($A$26:$B$28,L27)</f>
        <v>0</v>
      </c>
      <c r="R27" s="119">
        <f>ROUND(IF(Q27&gt;0,'Protocol Cover Sheet'!$O$16/7,0),0)</f>
        <v>0</v>
      </c>
      <c r="S27" s="131">
        <f t="shared" si="4"/>
        <v>0</v>
      </c>
      <c r="T27" s="119"/>
      <c r="U27" s="119"/>
      <c r="V27" s="133">
        <f t="shared" si="18"/>
        <v>0</v>
      </c>
      <c r="W27" s="114"/>
    </row>
    <row r="28" spans="1:28" ht="27.45" customHeight="1" x14ac:dyDescent="0.3">
      <c r="A28" s="420"/>
      <c r="B28" s="421"/>
      <c r="C28" s="422"/>
      <c r="D28" s="417"/>
      <c r="E28" s="418"/>
      <c r="F28" s="418"/>
      <c r="G28" s="418"/>
      <c r="H28" s="418"/>
      <c r="I28" s="419"/>
      <c r="J28" s="231"/>
      <c r="K28" s="257"/>
      <c r="L28" s="258"/>
      <c r="M28" s="258"/>
      <c r="N28" s="250"/>
      <c r="O28" s="111"/>
      <c r="P28" s="263"/>
      <c r="Q28" s="253"/>
      <c r="R28" s="262"/>
      <c r="S28" s="130"/>
      <c r="T28" s="116"/>
      <c r="U28" s="116"/>
      <c r="V28" s="132">
        <f t="shared" si="18"/>
        <v>0</v>
      </c>
      <c r="W28" s="114"/>
    </row>
    <row r="29" spans="1:28" ht="27.45" customHeight="1" x14ac:dyDescent="0.3">
      <c r="A29" s="3"/>
      <c r="B29" s="3"/>
      <c r="C29" s="3"/>
      <c r="D29" s="3"/>
      <c r="E29" s="3"/>
      <c r="F29" s="239"/>
      <c r="G29" s="3"/>
      <c r="H29" s="3"/>
      <c r="I29" s="3"/>
      <c r="J29" s="231"/>
      <c r="K29" s="257"/>
      <c r="L29" s="258"/>
      <c r="M29" s="258"/>
      <c r="N29" s="250"/>
      <c r="O29" s="111"/>
      <c r="P29" s="250"/>
      <c r="Q29" s="253"/>
      <c r="R29" s="252"/>
      <c r="S29" s="130"/>
      <c r="T29" s="116"/>
      <c r="U29" s="116"/>
      <c r="V29" s="132">
        <f t="shared" si="18"/>
        <v>0</v>
      </c>
      <c r="W29" s="114"/>
    </row>
    <row r="30" spans="1:28" ht="27.45" customHeight="1" x14ac:dyDescent="0.3">
      <c r="F30" s="12"/>
      <c r="J30" s="231"/>
      <c r="K30" s="257"/>
      <c r="L30" s="258"/>
      <c r="M30" s="258"/>
      <c r="N30" s="250"/>
      <c r="O30" s="250"/>
      <c r="P30" s="250"/>
      <c r="Q30" s="253"/>
      <c r="R30" s="253"/>
      <c r="S30" s="130"/>
      <c r="T30" s="253"/>
      <c r="U30" s="252"/>
      <c r="V30" s="133">
        <f t="shared" si="18"/>
        <v>0</v>
      </c>
      <c r="W30" s="114"/>
    </row>
    <row r="31" spans="1:28" ht="27.45" customHeight="1" x14ac:dyDescent="0.3">
      <c r="F31" s="12"/>
      <c r="J31" s="231"/>
      <c r="K31" s="257"/>
      <c r="L31" s="258"/>
      <c r="M31" s="258"/>
      <c r="N31" s="250"/>
      <c r="O31" s="111"/>
      <c r="P31" s="250"/>
      <c r="Q31" s="253"/>
      <c r="R31" s="252"/>
      <c r="S31" s="130"/>
      <c r="T31" s="116"/>
      <c r="U31" s="116"/>
      <c r="V31" s="132">
        <f>Q31*R31*S31</f>
        <v>0</v>
      </c>
      <c r="W31" s="114"/>
    </row>
    <row r="32" spans="1:28" ht="27.45" customHeight="1" x14ac:dyDescent="0.3">
      <c r="F32" s="12"/>
      <c r="J32" s="231"/>
      <c r="K32" s="257"/>
      <c r="L32" s="258"/>
      <c r="M32" s="258"/>
      <c r="N32" s="117"/>
      <c r="O32" s="117"/>
      <c r="P32" s="117"/>
      <c r="Q32" s="119"/>
      <c r="R32" s="119"/>
      <c r="S32" s="130"/>
      <c r="T32" s="119"/>
      <c r="U32" s="119"/>
      <c r="V32" s="133">
        <f>Q32*R32*S32</f>
        <v>0</v>
      </c>
      <c r="W32" s="114"/>
    </row>
    <row r="33" spans="6:23" ht="27.45" customHeight="1" x14ac:dyDescent="0.3">
      <c r="F33" s="12"/>
      <c r="K33" s="259"/>
      <c r="L33" s="260" t="s">
        <v>337</v>
      </c>
      <c r="M33" s="261"/>
      <c r="N33" s="111">
        <v>21.92</v>
      </c>
      <c r="O33" s="111">
        <v>29.59</v>
      </c>
      <c r="P33" s="111">
        <v>39.950000000000003</v>
      </c>
      <c r="Q33" s="116"/>
      <c r="R33" s="116">
        <f>SUMIF(I9:I17,"Yes",J9:J17)</f>
        <v>0</v>
      </c>
      <c r="S33" s="130">
        <f t="shared" si="4"/>
        <v>0</v>
      </c>
      <c r="T33" s="116"/>
      <c r="U33" s="116"/>
      <c r="V33" s="133">
        <f>IF(R33&gt;0,R33*S33,0)</f>
        <v>0</v>
      </c>
      <c r="W33" s="114" t="s">
        <v>313</v>
      </c>
    </row>
    <row r="34" spans="6:23" ht="27.45" customHeight="1" x14ac:dyDescent="0.3">
      <c r="F34" s="12"/>
      <c r="N34" s="111"/>
      <c r="O34" s="111"/>
      <c r="P34" s="111"/>
      <c r="Q34" s="116"/>
      <c r="R34" s="116"/>
      <c r="S34" s="116"/>
      <c r="T34" s="116"/>
      <c r="U34" s="116"/>
      <c r="V34" s="121"/>
      <c r="W34" s="114"/>
    </row>
    <row r="35" spans="6:23" ht="27.45" customHeight="1" x14ac:dyDescent="0.3">
      <c r="F35" s="12"/>
      <c r="N35" s="111"/>
      <c r="O35" s="111"/>
      <c r="P35" s="111"/>
      <c r="Q35" s="116"/>
      <c r="R35" s="116"/>
      <c r="S35" s="116"/>
      <c r="T35" s="116"/>
      <c r="U35" s="116"/>
      <c r="V35" s="121"/>
    </row>
    <row r="36" spans="6:23" ht="27.45" customHeight="1" x14ac:dyDescent="0.3">
      <c r="N36" s="111"/>
      <c r="O36" s="111"/>
      <c r="P36" s="111"/>
      <c r="Q36" s="116"/>
      <c r="R36" s="116"/>
      <c r="S36" s="116"/>
      <c r="T36" s="116"/>
      <c r="U36" s="116"/>
      <c r="V36" s="121"/>
    </row>
    <row r="37" spans="6:23" ht="27.45" customHeight="1" x14ac:dyDescent="0.3">
      <c r="N37" s="111"/>
      <c r="O37" s="111"/>
      <c r="P37" s="111"/>
      <c r="Q37" s="116"/>
      <c r="R37" s="116"/>
      <c r="S37" s="116"/>
      <c r="T37" s="116"/>
      <c r="U37" s="116"/>
      <c r="V37" s="121"/>
    </row>
    <row r="38" spans="6:23" ht="27.45" customHeight="1" x14ac:dyDescent="0.3">
      <c r="N38" s="111"/>
      <c r="O38" s="111"/>
      <c r="P38" s="111"/>
      <c r="Q38" s="116"/>
      <c r="R38" s="116"/>
      <c r="S38" s="116"/>
      <c r="T38" s="116"/>
      <c r="U38" s="116"/>
      <c r="V38" s="121"/>
    </row>
    <row r="39" spans="6:23" ht="27.45" customHeight="1" x14ac:dyDescent="0.3">
      <c r="N39" s="111"/>
      <c r="O39" s="111"/>
      <c r="P39" s="111"/>
      <c r="Q39" s="116"/>
      <c r="R39" s="116"/>
      <c r="S39" s="116"/>
      <c r="T39" s="116"/>
      <c r="U39" s="116"/>
      <c r="V39" s="121"/>
    </row>
    <row r="40" spans="6:23" ht="27.45" customHeight="1" x14ac:dyDescent="0.3">
      <c r="N40" s="111"/>
      <c r="O40" s="111"/>
      <c r="P40" s="111"/>
      <c r="Q40" s="116"/>
      <c r="R40" s="116"/>
      <c r="S40" s="116"/>
      <c r="T40" s="116"/>
      <c r="U40" s="116"/>
      <c r="V40" s="121"/>
    </row>
    <row r="41" spans="6:23" ht="27.45" customHeight="1" x14ac:dyDescent="0.3">
      <c r="N41" s="111"/>
      <c r="O41" s="111"/>
      <c r="P41" s="111"/>
      <c r="Q41" s="116"/>
      <c r="R41" s="116"/>
      <c r="S41" s="116"/>
      <c r="T41" s="116"/>
      <c r="U41" s="116"/>
      <c r="V41" s="121"/>
    </row>
    <row r="42" spans="6:23" ht="27.45" customHeight="1" x14ac:dyDescent="0.3">
      <c r="N42" s="111"/>
      <c r="O42" s="111"/>
      <c r="P42" s="111"/>
      <c r="Q42" s="116"/>
      <c r="R42" s="116"/>
      <c r="S42" s="116"/>
      <c r="T42" s="116"/>
      <c r="U42" s="116"/>
      <c r="V42" s="121"/>
    </row>
    <row r="43" spans="6:23" ht="27.45" customHeight="1" x14ac:dyDescent="0.3">
      <c r="N43" s="111"/>
      <c r="O43" s="111"/>
      <c r="P43" s="111"/>
      <c r="Q43" s="116"/>
      <c r="R43" s="116"/>
      <c r="S43" s="116"/>
      <c r="T43" s="116"/>
      <c r="U43" s="116"/>
      <c r="V43" s="121"/>
    </row>
    <row r="44" spans="6:23" ht="27.45" customHeight="1" x14ac:dyDescent="0.3">
      <c r="N44" s="111"/>
      <c r="O44" s="111"/>
      <c r="P44" s="111"/>
      <c r="Q44" s="116"/>
      <c r="R44" s="116"/>
      <c r="S44" s="116"/>
      <c r="T44" s="116"/>
      <c r="U44" s="116"/>
      <c r="V44" s="121"/>
    </row>
    <row r="45" spans="6:23" ht="27.45" customHeight="1" x14ac:dyDescent="0.3">
      <c r="N45" s="111"/>
      <c r="O45" s="111"/>
      <c r="P45" s="111"/>
      <c r="Q45" s="116"/>
      <c r="R45" s="116"/>
      <c r="S45" s="116"/>
      <c r="T45" s="116"/>
      <c r="U45" s="116"/>
      <c r="V45" s="121"/>
    </row>
    <row r="46" spans="6:23" ht="27.45" customHeight="1" x14ac:dyDescent="0.3">
      <c r="N46" s="111"/>
      <c r="O46" s="111"/>
      <c r="P46" s="111"/>
      <c r="Q46" s="116"/>
      <c r="R46" s="116"/>
      <c r="S46" s="116"/>
      <c r="T46" s="116"/>
      <c r="U46" s="116"/>
      <c r="V46" s="121"/>
    </row>
    <row r="47" spans="6:23" ht="27.45" customHeight="1" x14ac:dyDescent="0.3">
      <c r="N47" s="111"/>
      <c r="O47" s="111"/>
      <c r="P47" s="111"/>
      <c r="Q47" s="116"/>
      <c r="R47" s="116"/>
      <c r="S47" s="116"/>
      <c r="T47" s="116"/>
      <c r="U47" s="116"/>
      <c r="V47" s="121"/>
    </row>
    <row r="48" spans="6:23" ht="27.45" customHeight="1" x14ac:dyDescent="0.3">
      <c r="N48" s="111"/>
      <c r="O48" s="111"/>
      <c r="P48" s="111"/>
      <c r="Q48" s="116"/>
      <c r="R48" s="116"/>
      <c r="S48" s="116"/>
      <c r="T48" s="116"/>
      <c r="U48" s="116"/>
      <c r="V48" s="121"/>
    </row>
    <row r="49" spans="14:22" ht="27.45" customHeight="1" x14ac:dyDescent="0.3">
      <c r="N49" s="111"/>
      <c r="O49" s="111"/>
      <c r="P49" s="111"/>
      <c r="Q49" s="116"/>
      <c r="R49" s="116"/>
      <c r="S49" s="116"/>
      <c r="T49" s="116"/>
      <c r="U49" s="116"/>
      <c r="V49" s="121"/>
    </row>
    <row r="50" spans="14:22" ht="27.45" customHeight="1" x14ac:dyDescent="0.3">
      <c r="N50" s="111"/>
      <c r="O50" s="111"/>
      <c r="P50" s="111"/>
      <c r="Q50" s="116"/>
      <c r="R50" s="116"/>
      <c r="S50" s="116"/>
      <c r="T50" s="116"/>
      <c r="U50" s="116"/>
      <c r="V50" s="121"/>
    </row>
    <row r="51" spans="14:22" ht="27.45" customHeight="1" x14ac:dyDescent="0.3"/>
    <row r="52" spans="14:22" ht="27.45" customHeight="1" x14ac:dyDescent="0.3"/>
    <row r="53" spans="14:22" ht="27.45" customHeight="1" x14ac:dyDescent="0.3"/>
    <row r="54" spans="14:22" ht="27.45" customHeight="1" x14ac:dyDescent="0.3"/>
    <row r="55" spans="14:22" ht="27.45" customHeight="1" x14ac:dyDescent="0.3"/>
    <row r="56" spans="14:22" ht="27.45" customHeight="1" x14ac:dyDescent="0.3"/>
    <row r="57" spans="14:22" ht="27.45" customHeight="1" x14ac:dyDescent="0.3"/>
    <row r="58" spans="14:22" ht="27.45" customHeight="1" x14ac:dyDescent="0.3"/>
    <row r="59" spans="14:22" ht="27.45" customHeight="1" x14ac:dyDescent="0.3"/>
    <row r="60" spans="14:22" ht="27.45" customHeight="1" x14ac:dyDescent="0.3"/>
    <row r="61" spans="14:22" ht="27.45" customHeight="1" x14ac:dyDescent="0.3"/>
    <row r="62" spans="14:22" ht="27.45" customHeight="1" x14ac:dyDescent="0.3"/>
    <row r="63" spans="14:22" ht="27.45" customHeight="1" x14ac:dyDescent="0.3"/>
    <row r="64" spans="14:22" ht="27.45" customHeight="1" x14ac:dyDescent="0.3"/>
    <row r="65" ht="27.45" customHeight="1" x14ac:dyDescent="0.3"/>
    <row r="66" ht="27.45" customHeight="1" x14ac:dyDescent="0.3"/>
    <row r="67" ht="27.45" customHeight="1" x14ac:dyDescent="0.3"/>
    <row r="68" ht="27.45" customHeight="1" x14ac:dyDescent="0.3"/>
    <row r="69" ht="27.45" customHeight="1" x14ac:dyDescent="0.3"/>
    <row r="70" ht="27.45" customHeight="1" x14ac:dyDescent="0.3"/>
    <row r="71" ht="27.45" customHeight="1" x14ac:dyDescent="0.3"/>
    <row r="72" ht="27.45" customHeight="1" x14ac:dyDescent="0.3"/>
    <row r="73" ht="27.45" customHeight="1" x14ac:dyDescent="0.3"/>
    <row r="74" ht="27.45" customHeight="1" x14ac:dyDescent="0.3"/>
    <row r="75" ht="27.45" customHeight="1" x14ac:dyDescent="0.3"/>
    <row r="76" ht="27.45" customHeight="1" x14ac:dyDescent="0.3"/>
    <row r="77" ht="27.45" customHeight="1" x14ac:dyDescent="0.3"/>
    <row r="78" ht="27.45" customHeight="1" x14ac:dyDescent="0.3"/>
    <row r="79" ht="27.45" customHeight="1" x14ac:dyDescent="0.3"/>
    <row r="80" ht="27.45" customHeight="1" x14ac:dyDescent="0.3"/>
    <row r="81" ht="27.45" customHeight="1" x14ac:dyDescent="0.3"/>
    <row r="82" ht="27.45" customHeight="1" x14ac:dyDescent="0.3"/>
    <row r="83" ht="27.45" customHeight="1" x14ac:dyDescent="0.3"/>
  </sheetData>
  <sheetProtection algorithmName="SHA-512" hashValue="Sc9J5wPNuKsoJB4CQiRGDhv+DKj8tXO6btU4JBO7WBth1mOoMYVjGRirICyKCBnnANLAB+eSMtqW11rXW/uvrQ==" saltValue="POI6KYWXat6u7W/O2DfiMw==" spinCount="100000" sheet="1" selectLockedCells="1"/>
  <mergeCells count="33">
    <mergeCell ref="A6:B6"/>
    <mergeCell ref="A25:C25"/>
    <mergeCell ref="A1:I1"/>
    <mergeCell ref="A24:I24"/>
    <mergeCell ref="A18:I18"/>
    <mergeCell ref="E19:I19"/>
    <mergeCell ref="E20:I23"/>
    <mergeCell ref="A7:I7"/>
    <mergeCell ref="D4:I6"/>
    <mergeCell ref="D3:I3"/>
    <mergeCell ref="A3:B3"/>
    <mergeCell ref="A2:H2"/>
    <mergeCell ref="C8:D8"/>
    <mergeCell ref="C9:D9"/>
    <mergeCell ref="C10:D10"/>
    <mergeCell ref="C11:D11"/>
    <mergeCell ref="A5:B5"/>
    <mergeCell ref="A26:C26"/>
    <mergeCell ref="A4:B4"/>
    <mergeCell ref="A27:C27"/>
    <mergeCell ref="D25:I28"/>
    <mergeCell ref="A28:C28"/>
    <mergeCell ref="C12:D12"/>
    <mergeCell ref="C13:D13"/>
    <mergeCell ref="C14:D14"/>
    <mergeCell ref="C15:D15"/>
    <mergeCell ref="A21:C21"/>
    <mergeCell ref="A22:C22"/>
    <mergeCell ref="A23:C23"/>
    <mergeCell ref="C16:D16"/>
    <mergeCell ref="C17:D17"/>
    <mergeCell ref="A19:C19"/>
    <mergeCell ref="A20:C20"/>
  </mergeCells>
  <dataValidations count="8">
    <dataValidation type="whole" allowBlank="1" showInputMessage="1" showErrorMessage="1" error="Please enter whole numbers" sqref="C4:C6" xr:uid="{00000000-0002-0000-0400-000001000000}">
      <formula1>1</formula1>
      <formula2>99999</formula2>
    </dataValidation>
    <dataValidation type="list" allowBlank="1" showInputMessage="1" showErrorMessage="1" sqref="B9:B17 I9:I17" xr:uid="{00000000-0002-0000-0400-000002000000}">
      <formula1>$W$1:$W$2</formula1>
    </dataValidation>
    <dataValidation type="list" allowBlank="1" showInputMessage="1" showErrorMessage="1" sqref="A20:B23" xr:uid="{00000000-0002-0000-0400-000003000000}">
      <formula1>$L$17:$L$25</formula1>
    </dataValidation>
    <dataValidation type="whole" operator="greaterThan" allowBlank="1" showInputMessage="1" showErrorMessage="1" error="Enter a number greater than 0" sqref="D20:D23" xr:uid="{00000000-0002-0000-0400-000004000000}">
      <formula1>0</formula1>
    </dataValidation>
    <dataValidation type="list" allowBlank="1" showInputMessage="1" showErrorMessage="1" sqref="A26:B28" xr:uid="{00000000-0002-0000-0400-000005000000}">
      <formula1>$L$26:$L$27</formula1>
    </dataValidation>
    <dataValidation type="list" allowBlank="1" showInputMessage="1" showErrorMessage="1" sqref="C9:D17" xr:uid="{00000000-0002-0000-0400-000007000000}">
      <formula1>$L$9:$L$16</formula1>
    </dataValidation>
    <dataValidation type="whole" allowBlank="1" showInputMessage="1" showErrorMessage="1" sqref="F9:H17" xr:uid="{00000000-0002-0000-0400-000008000000}">
      <formula1>0</formula1>
      <formula2>10000</formula2>
    </dataValidation>
    <dataValidation type="list" allowBlank="1" showInputMessage="1" showErrorMessage="1" sqref="A4:B6" xr:uid="{7B638910-D899-4F7D-9434-0F4D009D0589}">
      <formula1>$L$2:$L$8</formula1>
    </dataValidation>
  </dataValidations>
  <pageMargins left="0.7" right="0.7" top="0.75" bottom="0.75" header="0.3" footer="0.3"/>
  <pageSetup scale="86" orientation="landscape" r:id="rId1"/>
  <colBreaks count="1" manualBreakCount="1">
    <brk id="8"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tabColor theme="9" tint="-0.249977111117893"/>
    <pageSetUpPr fitToPage="1"/>
  </sheetPr>
  <dimension ref="A1:I63"/>
  <sheetViews>
    <sheetView zoomScale="70" zoomScaleNormal="70" workbookViewId="0">
      <pane ySplit="1" topLeftCell="A2" activePane="bottomLeft" state="frozen"/>
      <selection pane="bottomLeft"/>
    </sheetView>
  </sheetViews>
  <sheetFormatPr defaultColWidth="9.109375" defaultRowHeight="25.8" x14ac:dyDescent="0.5"/>
  <cols>
    <col min="1" max="1" width="19.44140625" style="58" customWidth="1"/>
    <col min="2" max="2" width="34.6640625" style="38" customWidth="1"/>
    <col min="3" max="5" width="14.44140625" style="38" hidden="1" customWidth="1"/>
    <col min="6" max="6" width="16" style="38" customWidth="1"/>
    <col min="7" max="7" width="16.77734375" style="38" customWidth="1"/>
    <col min="8" max="8" width="17.6640625" style="38" customWidth="1"/>
    <col min="9" max="9" width="9.109375" style="43"/>
    <col min="10" max="16384" width="9.109375" style="38"/>
  </cols>
  <sheetData>
    <row r="1" spans="1:9" ht="54.75" customHeight="1" x14ac:dyDescent="0.3">
      <c r="A1" s="32"/>
      <c r="B1" s="33" t="s">
        <v>97</v>
      </c>
      <c r="C1" s="34" t="s">
        <v>98</v>
      </c>
      <c r="D1" s="35" t="s">
        <v>99</v>
      </c>
      <c r="E1" s="36" t="s">
        <v>100</v>
      </c>
      <c r="F1" s="34" t="s">
        <v>101</v>
      </c>
      <c r="G1" s="62" t="s">
        <v>99</v>
      </c>
      <c r="H1" s="63" t="s">
        <v>100</v>
      </c>
      <c r="I1" s="37"/>
    </row>
    <row r="2" spans="1:9" ht="36" x14ac:dyDescent="0.5">
      <c r="A2" s="39" t="s">
        <v>102</v>
      </c>
      <c r="B2" s="40" t="s">
        <v>103</v>
      </c>
      <c r="C2" s="48">
        <v>70.454999999999998</v>
      </c>
      <c r="D2" s="41">
        <f>+C2*1.26</f>
        <v>88.773299999999992</v>
      </c>
      <c r="E2" s="42">
        <f>+C2*1.62</f>
        <v>114.1371</v>
      </c>
      <c r="F2" s="48">
        <f>+C2*1.1</f>
        <v>77.500500000000002</v>
      </c>
      <c r="G2" s="41">
        <f>+F2*1.26</f>
        <v>97.650630000000007</v>
      </c>
      <c r="H2" s="42">
        <f>+F2*1.62</f>
        <v>125.55081000000001</v>
      </c>
    </row>
    <row r="3" spans="1:9" ht="36" x14ac:dyDescent="0.5">
      <c r="A3" s="39" t="s">
        <v>102</v>
      </c>
      <c r="B3" s="40" t="s">
        <v>104</v>
      </c>
      <c r="C3" s="48">
        <v>1.69</v>
      </c>
      <c r="D3" s="41">
        <f t="shared" ref="D3:D56" si="0">+C3*1.26</f>
        <v>2.1294</v>
      </c>
      <c r="E3" s="42">
        <f t="shared" ref="E3:E56" si="1">+C3*1.62</f>
        <v>2.7378</v>
      </c>
      <c r="F3" s="48">
        <f t="shared" ref="F3:F7" si="2">+C3*1.1</f>
        <v>1.859</v>
      </c>
      <c r="G3" s="41">
        <f t="shared" ref="G3:G56" si="3">+F3*1.26</f>
        <v>2.3423400000000001</v>
      </c>
      <c r="H3" s="42">
        <f t="shared" ref="H3:H56" si="4">+F3*1.62</f>
        <v>3.0115800000000004</v>
      </c>
    </row>
    <row r="4" spans="1:9" x14ac:dyDescent="0.5">
      <c r="A4" s="39" t="s">
        <v>102</v>
      </c>
      <c r="B4" s="40" t="s">
        <v>105</v>
      </c>
      <c r="C4" s="48">
        <v>2.52</v>
      </c>
      <c r="D4" s="41">
        <f t="shared" si="0"/>
        <v>3.1752000000000002</v>
      </c>
      <c r="E4" s="42">
        <f t="shared" si="1"/>
        <v>4.0824000000000007</v>
      </c>
      <c r="F4" s="48">
        <f t="shared" si="2"/>
        <v>2.7720000000000002</v>
      </c>
      <c r="G4" s="41">
        <f t="shared" si="3"/>
        <v>3.4927200000000003</v>
      </c>
      <c r="H4" s="42">
        <f t="shared" si="4"/>
        <v>4.4906400000000009</v>
      </c>
    </row>
    <row r="5" spans="1:9" x14ac:dyDescent="0.5">
      <c r="A5" s="39" t="s">
        <v>106</v>
      </c>
      <c r="B5" s="40" t="s">
        <v>107</v>
      </c>
      <c r="C5" s="48">
        <v>39.6</v>
      </c>
      <c r="D5" s="41">
        <f t="shared" si="0"/>
        <v>49.896000000000001</v>
      </c>
      <c r="E5" s="42">
        <f t="shared" si="1"/>
        <v>64.152000000000001</v>
      </c>
      <c r="F5" s="48">
        <f t="shared" si="2"/>
        <v>43.56</v>
      </c>
      <c r="G5" s="41">
        <f t="shared" si="3"/>
        <v>54.885600000000004</v>
      </c>
      <c r="H5" s="42">
        <f t="shared" si="4"/>
        <v>70.567200000000014</v>
      </c>
    </row>
    <row r="6" spans="1:9" x14ac:dyDescent="0.5">
      <c r="A6" s="39" t="s">
        <v>106</v>
      </c>
      <c r="B6" s="40" t="s">
        <v>108</v>
      </c>
      <c r="C6" s="48">
        <v>77.89</v>
      </c>
      <c r="D6" s="41">
        <f t="shared" si="0"/>
        <v>98.141400000000004</v>
      </c>
      <c r="E6" s="42">
        <f t="shared" si="1"/>
        <v>126.18180000000001</v>
      </c>
      <c r="F6" s="48">
        <f t="shared" si="2"/>
        <v>85.679000000000002</v>
      </c>
      <c r="G6" s="41">
        <f t="shared" si="3"/>
        <v>107.95554</v>
      </c>
      <c r="H6" s="42">
        <f t="shared" si="4"/>
        <v>138.79998000000001</v>
      </c>
    </row>
    <row r="7" spans="1:9" ht="54" x14ac:dyDescent="0.5">
      <c r="A7" s="39" t="s">
        <v>106</v>
      </c>
      <c r="B7" s="40" t="s">
        <v>109</v>
      </c>
      <c r="C7" s="48">
        <v>91.64</v>
      </c>
      <c r="D7" s="41">
        <f t="shared" si="0"/>
        <v>115.46640000000001</v>
      </c>
      <c r="E7" s="42">
        <f t="shared" si="1"/>
        <v>148.45680000000002</v>
      </c>
      <c r="F7" s="48">
        <f t="shared" si="2"/>
        <v>100.804</v>
      </c>
      <c r="G7" s="41">
        <f t="shared" si="3"/>
        <v>127.01304</v>
      </c>
      <c r="H7" s="42">
        <f t="shared" si="4"/>
        <v>163.30248</v>
      </c>
    </row>
    <row r="8" spans="1:9" ht="36" x14ac:dyDescent="0.5">
      <c r="A8" s="44" t="s">
        <v>106</v>
      </c>
      <c r="B8" s="45" t="s">
        <v>110</v>
      </c>
      <c r="C8" s="59"/>
      <c r="D8" s="41">
        <f t="shared" si="0"/>
        <v>0</v>
      </c>
      <c r="E8" s="42">
        <f t="shared" si="1"/>
        <v>0</v>
      </c>
      <c r="F8" s="59"/>
      <c r="G8" s="41">
        <f t="shared" si="3"/>
        <v>0</v>
      </c>
      <c r="H8" s="42">
        <f t="shared" si="4"/>
        <v>0</v>
      </c>
    </row>
    <row r="9" spans="1:9" x14ac:dyDescent="0.5">
      <c r="A9" s="39" t="s">
        <v>106</v>
      </c>
      <c r="B9" s="40" t="s">
        <v>111</v>
      </c>
      <c r="C9" s="48">
        <v>30.43</v>
      </c>
      <c r="D9" s="41">
        <f t="shared" si="0"/>
        <v>38.341799999999999</v>
      </c>
      <c r="E9" s="42">
        <f t="shared" si="1"/>
        <v>49.296600000000005</v>
      </c>
      <c r="F9" s="48">
        <f t="shared" ref="F9:F18" si="5">+C9*1.1</f>
        <v>33.472999999999999</v>
      </c>
      <c r="G9" s="41">
        <f t="shared" si="3"/>
        <v>42.175979999999996</v>
      </c>
      <c r="H9" s="42">
        <f t="shared" si="4"/>
        <v>54.226260000000003</v>
      </c>
    </row>
    <row r="10" spans="1:9" x14ac:dyDescent="0.5">
      <c r="A10" s="39" t="s">
        <v>106</v>
      </c>
      <c r="B10" s="40" t="s">
        <v>112</v>
      </c>
      <c r="C10" s="48">
        <v>56.320000000000007</v>
      </c>
      <c r="D10" s="41">
        <f t="shared" si="0"/>
        <v>70.963200000000015</v>
      </c>
      <c r="E10" s="42">
        <f t="shared" si="1"/>
        <v>91.238400000000013</v>
      </c>
      <c r="F10" s="48">
        <f t="shared" si="5"/>
        <v>61.952000000000012</v>
      </c>
      <c r="G10" s="41">
        <f t="shared" si="3"/>
        <v>78.05952000000002</v>
      </c>
      <c r="H10" s="42">
        <f t="shared" si="4"/>
        <v>100.36224000000003</v>
      </c>
    </row>
    <row r="11" spans="1:9" ht="36" x14ac:dyDescent="0.5">
      <c r="A11" s="39" t="s">
        <v>106</v>
      </c>
      <c r="B11" s="40" t="s">
        <v>113</v>
      </c>
      <c r="C11" s="48">
        <v>30.43</v>
      </c>
      <c r="D11" s="41">
        <f t="shared" si="0"/>
        <v>38.341799999999999</v>
      </c>
      <c r="E11" s="42">
        <f t="shared" si="1"/>
        <v>49.296600000000005</v>
      </c>
      <c r="F11" s="48">
        <f t="shared" si="5"/>
        <v>33.472999999999999</v>
      </c>
      <c r="G11" s="41">
        <f t="shared" si="3"/>
        <v>42.175979999999996</v>
      </c>
      <c r="H11" s="42">
        <f t="shared" si="4"/>
        <v>54.226260000000003</v>
      </c>
    </row>
    <row r="12" spans="1:9" x14ac:dyDescent="0.5">
      <c r="A12" s="39" t="s">
        <v>106</v>
      </c>
      <c r="B12" s="40" t="s">
        <v>114</v>
      </c>
      <c r="C12" s="48">
        <v>42.8</v>
      </c>
      <c r="D12" s="41">
        <f t="shared" si="0"/>
        <v>53.927999999999997</v>
      </c>
      <c r="E12" s="42">
        <f t="shared" si="1"/>
        <v>69.335999999999999</v>
      </c>
      <c r="F12" s="48">
        <f t="shared" si="5"/>
        <v>47.08</v>
      </c>
      <c r="G12" s="41">
        <f t="shared" si="3"/>
        <v>59.320799999999998</v>
      </c>
      <c r="H12" s="42">
        <f t="shared" si="4"/>
        <v>76.269599999999997</v>
      </c>
    </row>
    <row r="13" spans="1:9" x14ac:dyDescent="0.5">
      <c r="A13" s="39" t="s">
        <v>106</v>
      </c>
      <c r="B13" s="40" t="s">
        <v>115</v>
      </c>
      <c r="C13" s="48">
        <v>27.46</v>
      </c>
      <c r="D13" s="41">
        <f t="shared" si="0"/>
        <v>34.599600000000002</v>
      </c>
      <c r="E13" s="42">
        <f t="shared" si="1"/>
        <v>44.485200000000006</v>
      </c>
      <c r="F13" s="48">
        <f t="shared" si="5"/>
        <v>30.206000000000003</v>
      </c>
      <c r="G13" s="41">
        <f t="shared" si="3"/>
        <v>38.059560000000005</v>
      </c>
      <c r="H13" s="42">
        <f t="shared" si="4"/>
        <v>48.933720000000008</v>
      </c>
    </row>
    <row r="14" spans="1:9" x14ac:dyDescent="0.5">
      <c r="A14" s="39" t="s">
        <v>106</v>
      </c>
      <c r="B14" s="40" t="s">
        <v>116</v>
      </c>
      <c r="C14" s="48">
        <v>36.479999999999997</v>
      </c>
      <c r="D14" s="41">
        <f t="shared" si="0"/>
        <v>45.964799999999997</v>
      </c>
      <c r="E14" s="42">
        <f t="shared" si="1"/>
        <v>59.0976</v>
      </c>
      <c r="F14" s="48">
        <f t="shared" si="5"/>
        <v>40.128</v>
      </c>
      <c r="G14" s="41">
        <f t="shared" si="3"/>
        <v>50.561280000000004</v>
      </c>
      <c r="H14" s="42">
        <f t="shared" si="4"/>
        <v>65.007360000000006</v>
      </c>
    </row>
    <row r="15" spans="1:9" x14ac:dyDescent="0.5">
      <c r="A15" s="39" t="s">
        <v>106</v>
      </c>
      <c r="B15" s="40" t="s">
        <v>117</v>
      </c>
      <c r="C15" s="48">
        <v>18.77</v>
      </c>
      <c r="D15" s="41">
        <f t="shared" si="0"/>
        <v>23.650199999999998</v>
      </c>
      <c r="E15" s="42">
        <f t="shared" si="1"/>
        <v>30.407400000000003</v>
      </c>
      <c r="F15" s="48">
        <f t="shared" si="5"/>
        <v>20.647000000000002</v>
      </c>
      <c r="G15" s="41">
        <f t="shared" si="3"/>
        <v>26.015220000000003</v>
      </c>
      <c r="H15" s="42">
        <f t="shared" si="4"/>
        <v>33.448140000000002</v>
      </c>
    </row>
    <row r="16" spans="1:9" x14ac:dyDescent="0.5">
      <c r="A16" s="39" t="s">
        <v>106</v>
      </c>
      <c r="B16" s="40" t="s">
        <v>118</v>
      </c>
      <c r="C16" s="48">
        <v>13.38</v>
      </c>
      <c r="D16" s="41">
        <f t="shared" si="0"/>
        <v>16.858800000000002</v>
      </c>
      <c r="E16" s="42">
        <f t="shared" si="1"/>
        <v>21.675600000000003</v>
      </c>
      <c r="F16" s="48">
        <f t="shared" si="5"/>
        <v>14.718000000000002</v>
      </c>
      <c r="G16" s="41">
        <f t="shared" si="3"/>
        <v>18.544680000000003</v>
      </c>
      <c r="H16" s="42">
        <f t="shared" si="4"/>
        <v>23.843160000000005</v>
      </c>
    </row>
    <row r="17" spans="1:8" ht="36" x14ac:dyDescent="0.5">
      <c r="A17" s="39" t="s">
        <v>106</v>
      </c>
      <c r="B17" s="40" t="s">
        <v>119</v>
      </c>
      <c r="C17" s="48">
        <v>4.8950000000000005</v>
      </c>
      <c r="D17" s="41">
        <f t="shared" si="0"/>
        <v>6.1677000000000008</v>
      </c>
      <c r="E17" s="42">
        <f t="shared" si="1"/>
        <v>7.9299000000000008</v>
      </c>
      <c r="F17" s="48">
        <f t="shared" si="5"/>
        <v>5.384500000000001</v>
      </c>
      <c r="G17" s="41">
        <f t="shared" si="3"/>
        <v>6.7844700000000016</v>
      </c>
      <c r="H17" s="42">
        <f t="shared" si="4"/>
        <v>8.7228900000000014</v>
      </c>
    </row>
    <row r="18" spans="1:8" x14ac:dyDescent="0.5">
      <c r="A18" s="39" t="s">
        <v>106</v>
      </c>
      <c r="B18" s="40" t="s">
        <v>120</v>
      </c>
      <c r="C18" s="48">
        <v>23.925000000000001</v>
      </c>
      <c r="D18" s="41">
        <f t="shared" si="0"/>
        <v>30.145500000000002</v>
      </c>
      <c r="E18" s="42">
        <f t="shared" si="1"/>
        <v>38.758500000000005</v>
      </c>
      <c r="F18" s="48">
        <f t="shared" si="5"/>
        <v>26.317500000000003</v>
      </c>
      <c r="G18" s="41">
        <f t="shared" si="3"/>
        <v>33.160050000000005</v>
      </c>
      <c r="H18" s="42">
        <f t="shared" si="4"/>
        <v>42.634350000000005</v>
      </c>
    </row>
    <row r="19" spans="1:8" x14ac:dyDescent="0.5">
      <c r="A19" s="44" t="s">
        <v>106</v>
      </c>
      <c r="B19" s="45" t="s">
        <v>121</v>
      </c>
      <c r="C19" s="59"/>
      <c r="D19" s="41">
        <f t="shared" si="0"/>
        <v>0</v>
      </c>
      <c r="E19" s="42">
        <f t="shared" si="1"/>
        <v>0</v>
      </c>
      <c r="F19" s="59"/>
      <c r="G19" s="41">
        <f t="shared" si="3"/>
        <v>0</v>
      </c>
      <c r="H19" s="42">
        <f t="shared" si="4"/>
        <v>0</v>
      </c>
    </row>
    <row r="20" spans="1:8" ht="36" x14ac:dyDescent="0.5">
      <c r="A20" s="39" t="s">
        <v>106</v>
      </c>
      <c r="B20" s="40" t="s">
        <v>122</v>
      </c>
      <c r="C20" s="48">
        <v>69.42</v>
      </c>
      <c r="D20" s="41">
        <f t="shared" si="0"/>
        <v>87.469200000000001</v>
      </c>
      <c r="E20" s="42">
        <f t="shared" si="1"/>
        <v>112.46040000000001</v>
      </c>
      <c r="F20" s="48">
        <f t="shared" ref="F20:F25" si="6">+C20*1.1</f>
        <v>76.362000000000009</v>
      </c>
      <c r="G20" s="41">
        <f t="shared" si="3"/>
        <v>96.216120000000018</v>
      </c>
      <c r="H20" s="42">
        <f t="shared" si="4"/>
        <v>123.70644000000003</v>
      </c>
    </row>
    <row r="21" spans="1:8" ht="36" x14ac:dyDescent="0.5">
      <c r="A21" s="39" t="s">
        <v>106</v>
      </c>
      <c r="B21" s="40" t="s">
        <v>123</v>
      </c>
      <c r="C21" s="48">
        <v>89.6</v>
      </c>
      <c r="D21" s="41">
        <f t="shared" si="0"/>
        <v>112.89599999999999</v>
      </c>
      <c r="E21" s="42">
        <f t="shared" si="1"/>
        <v>145.15199999999999</v>
      </c>
      <c r="F21" s="48">
        <f t="shared" si="6"/>
        <v>98.56</v>
      </c>
      <c r="G21" s="41">
        <f t="shared" si="3"/>
        <v>124.18560000000001</v>
      </c>
      <c r="H21" s="42">
        <f t="shared" si="4"/>
        <v>159.66720000000001</v>
      </c>
    </row>
    <row r="22" spans="1:8" x14ac:dyDescent="0.5">
      <c r="A22" s="39" t="s">
        <v>106</v>
      </c>
      <c r="B22" s="40" t="s">
        <v>124</v>
      </c>
      <c r="C22" s="48">
        <v>54.51</v>
      </c>
      <c r="D22" s="41">
        <f t="shared" si="0"/>
        <v>68.682599999999994</v>
      </c>
      <c r="E22" s="42">
        <f t="shared" si="1"/>
        <v>88.306200000000004</v>
      </c>
      <c r="F22" s="48">
        <f t="shared" si="6"/>
        <v>59.961000000000006</v>
      </c>
      <c r="G22" s="41">
        <f t="shared" si="3"/>
        <v>75.550860000000014</v>
      </c>
      <c r="H22" s="42">
        <f t="shared" si="4"/>
        <v>97.136820000000014</v>
      </c>
    </row>
    <row r="23" spans="1:8" x14ac:dyDescent="0.5">
      <c r="A23" s="39" t="s">
        <v>106</v>
      </c>
      <c r="B23" s="40" t="s">
        <v>125</v>
      </c>
      <c r="C23" s="48">
        <v>45.27</v>
      </c>
      <c r="D23" s="41">
        <f t="shared" si="0"/>
        <v>57.040200000000006</v>
      </c>
      <c r="E23" s="42">
        <f t="shared" si="1"/>
        <v>73.337400000000017</v>
      </c>
      <c r="F23" s="48">
        <f t="shared" si="6"/>
        <v>49.797000000000004</v>
      </c>
      <c r="G23" s="41">
        <f t="shared" si="3"/>
        <v>62.744220000000006</v>
      </c>
      <c r="H23" s="42">
        <f t="shared" si="4"/>
        <v>80.671140000000008</v>
      </c>
    </row>
    <row r="24" spans="1:8" x14ac:dyDescent="0.5">
      <c r="A24" s="39" t="s">
        <v>106</v>
      </c>
      <c r="B24" s="40" t="s">
        <v>126</v>
      </c>
      <c r="C24" s="48">
        <v>41.48</v>
      </c>
      <c r="D24" s="41">
        <f t="shared" si="0"/>
        <v>52.264799999999994</v>
      </c>
      <c r="E24" s="42">
        <f t="shared" si="1"/>
        <v>67.197599999999994</v>
      </c>
      <c r="F24" s="48">
        <f t="shared" si="6"/>
        <v>45.628</v>
      </c>
      <c r="G24" s="41">
        <f t="shared" si="3"/>
        <v>57.491280000000003</v>
      </c>
      <c r="H24" s="42">
        <f t="shared" si="4"/>
        <v>73.917360000000002</v>
      </c>
    </row>
    <row r="25" spans="1:8" ht="36" x14ac:dyDescent="0.5">
      <c r="A25" s="39" t="s">
        <v>106</v>
      </c>
      <c r="B25" s="40" t="s">
        <v>127</v>
      </c>
      <c r="C25" s="48">
        <v>89.49</v>
      </c>
      <c r="D25" s="41">
        <f t="shared" si="0"/>
        <v>112.75739999999999</v>
      </c>
      <c r="E25" s="42">
        <f t="shared" si="1"/>
        <v>144.97380000000001</v>
      </c>
      <c r="F25" s="48">
        <f t="shared" si="6"/>
        <v>98.439000000000007</v>
      </c>
      <c r="G25" s="41">
        <f t="shared" si="3"/>
        <v>124.03314</v>
      </c>
      <c r="H25" s="42">
        <f t="shared" si="4"/>
        <v>159.47118000000003</v>
      </c>
    </row>
    <row r="26" spans="1:8" x14ac:dyDescent="0.5">
      <c r="A26" s="44" t="s">
        <v>106</v>
      </c>
      <c r="B26" s="45" t="s">
        <v>128</v>
      </c>
      <c r="C26" s="59"/>
      <c r="D26" s="41">
        <f t="shared" si="0"/>
        <v>0</v>
      </c>
      <c r="E26" s="42">
        <f t="shared" si="1"/>
        <v>0</v>
      </c>
      <c r="F26" s="59"/>
      <c r="G26" s="41">
        <f t="shared" si="3"/>
        <v>0</v>
      </c>
      <c r="H26" s="42">
        <f t="shared" si="4"/>
        <v>0</v>
      </c>
    </row>
    <row r="27" spans="1:8" x14ac:dyDescent="0.5">
      <c r="A27" s="39" t="s">
        <v>106</v>
      </c>
      <c r="B27" s="40" t="s">
        <v>129</v>
      </c>
      <c r="C27" s="48">
        <v>11.825000000000001</v>
      </c>
      <c r="D27" s="41">
        <f t="shared" si="0"/>
        <v>14.899500000000002</v>
      </c>
      <c r="E27" s="42">
        <f t="shared" si="1"/>
        <v>19.156500000000005</v>
      </c>
      <c r="F27" s="48">
        <f t="shared" ref="F27:F29" si="7">+C27*1.1</f>
        <v>13.007500000000002</v>
      </c>
      <c r="G27" s="41">
        <f t="shared" si="3"/>
        <v>16.389450000000004</v>
      </c>
      <c r="H27" s="42">
        <f t="shared" si="4"/>
        <v>21.072150000000004</v>
      </c>
    </row>
    <row r="28" spans="1:8" x14ac:dyDescent="0.5">
      <c r="A28" s="39" t="s">
        <v>130</v>
      </c>
      <c r="B28" s="40" t="s">
        <v>131</v>
      </c>
      <c r="C28" s="48">
        <v>13.475000000000001</v>
      </c>
      <c r="D28" s="41">
        <f t="shared" si="0"/>
        <v>16.9785</v>
      </c>
      <c r="E28" s="42">
        <f t="shared" si="1"/>
        <v>21.829500000000003</v>
      </c>
      <c r="F28" s="48">
        <f t="shared" si="7"/>
        <v>14.822500000000003</v>
      </c>
      <c r="G28" s="41">
        <f t="shared" si="3"/>
        <v>18.676350000000003</v>
      </c>
      <c r="H28" s="42">
        <f t="shared" si="4"/>
        <v>24.012450000000008</v>
      </c>
    </row>
    <row r="29" spans="1:8" ht="72" x14ac:dyDescent="0.5">
      <c r="A29" s="39" t="s">
        <v>130</v>
      </c>
      <c r="B29" s="40" t="s">
        <v>132</v>
      </c>
      <c r="C29" s="48">
        <v>13.475000000000001</v>
      </c>
      <c r="D29" s="41">
        <f t="shared" si="0"/>
        <v>16.9785</v>
      </c>
      <c r="E29" s="42">
        <f t="shared" si="1"/>
        <v>21.829500000000003</v>
      </c>
      <c r="F29" s="48">
        <f t="shared" si="7"/>
        <v>14.822500000000003</v>
      </c>
      <c r="G29" s="41">
        <f t="shared" si="3"/>
        <v>18.676350000000003</v>
      </c>
      <c r="H29" s="42">
        <f t="shared" si="4"/>
        <v>24.012450000000008</v>
      </c>
    </row>
    <row r="30" spans="1:8" x14ac:dyDescent="0.5">
      <c r="A30" s="44" t="s">
        <v>130</v>
      </c>
      <c r="B30" s="45" t="s">
        <v>133</v>
      </c>
      <c r="C30" s="59"/>
      <c r="D30" s="41">
        <f t="shared" si="0"/>
        <v>0</v>
      </c>
      <c r="E30" s="42">
        <f t="shared" si="1"/>
        <v>0</v>
      </c>
      <c r="F30" s="48">
        <f t="shared" ref="F30" si="8">+C30*1.05</f>
        <v>0</v>
      </c>
      <c r="G30" s="41">
        <f t="shared" si="3"/>
        <v>0</v>
      </c>
      <c r="H30" s="42">
        <f t="shared" si="4"/>
        <v>0</v>
      </c>
    </row>
    <row r="31" spans="1:8" ht="36" x14ac:dyDescent="0.5">
      <c r="A31" s="46" t="s">
        <v>130</v>
      </c>
      <c r="B31" s="47" t="s">
        <v>134</v>
      </c>
      <c r="C31" s="60">
        <v>197</v>
      </c>
      <c r="D31" s="41">
        <f t="shared" si="0"/>
        <v>248.22</v>
      </c>
      <c r="E31" s="42">
        <f t="shared" si="1"/>
        <v>319.14000000000004</v>
      </c>
      <c r="F31" s="48">
        <f t="shared" ref="F31:F39" si="9">+C31*1.1</f>
        <v>216.70000000000002</v>
      </c>
      <c r="G31" s="41">
        <f t="shared" si="3"/>
        <v>273.04200000000003</v>
      </c>
      <c r="H31" s="42">
        <f t="shared" si="4"/>
        <v>351.05400000000003</v>
      </c>
    </row>
    <row r="32" spans="1:8" ht="36" x14ac:dyDescent="0.5">
      <c r="A32" s="46" t="s">
        <v>130</v>
      </c>
      <c r="B32" s="47" t="s">
        <v>135</v>
      </c>
      <c r="C32" s="60">
        <v>382</v>
      </c>
      <c r="D32" s="41">
        <f t="shared" si="0"/>
        <v>481.32</v>
      </c>
      <c r="E32" s="42">
        <f t="shared" si="1"/>
        <v>618.84</v>
      </c>
      <c r="F32" s="48">
        <f t="shared" si="9"/>
        <v>420.20000000000005</v>
      </c>
      <c r="G32" s="41">
        <f t="shared" si="3"/>
        <v>529.45200000000011</v>
      </c>
      <c r="H32" s="42">
        <f t="shared" si="4"/>
        <v>680.72400000000016</v>
      </c>
    </row>
    <row r="33" spans="1:8" ht="36" x14ac:dyDescent="0.5">
      <c r="A33" s="46" t="s">
        <v>130</v>
      </c>
      <c r="B33" s="47" t="s">
        <v>136</v>
      </c>
      <c r="C33" s="60">
        <v>456</v>
      </c>
      <c r="D33" s="41">
        <f t="shared" si="0"/>
        <v>574.56000000000006</v>
      </c>
      <c r="E33" s="42">
        <f t="shared" si="1"/>
        <v>738.72</v>
      </c>
      <c r="F33" s="48">
        <f t="shared" si="9"/>
        <v>501.6</v>
      </c>
      <c r="G33" s="41">
        <f t="shared" si="3"/>
        <v>632.01600000000008</v>
      </c>
      <c r="H33" s="42">
        <f t="shared" si="4"/>
        <v>812.5920000000001</v>
      </c>
    </row>
    <row r="34" spans="1:8" ht="36" x14ac:dyDescent="0.5">
      <c r="A34" s="46" t="s">
        <v>130</v>
      </c>
      <c r="B34" s="47" t="s">
        <v>137</v>
      </c>
      <c r="C34" s="60">
        <v>550</v>
      </c>
      <c r="D34" s="41">
        <f t="shared" si="0"/>
        <v>693</v>
      </c>
      <c r="E34" s="42">
        <f t="shared" si="1"/>
        <v>891.00000000000011</v>
      </c>
      <c r="F34" s="48">
        <f t="shared" si="9"/>
        <v>605</v>
      </c>
      <c r="G34" s="41">
        <f t="shared" si="3"/>
        <v>762.3</v>
      </c>
      <c r="H34" s="42">
        <f t="shared" si="4"/>
        <v>980.1</v>
      </c>
    </row>
    <row r="35" spans="1:8" ht="36" x14ac:dyDescent="0.5">
      <c r="A35" s="46" t="s">
        <v>130</v>
      </c>
      <c r="B35" s="47" t="s">
        <v>138</v>
      </c>
      <c r="C35" s="60">
        <v>617</v>
      </c>
      <c r="D35" s="41">
        <f t="shared" si="0"/>
        <v>777.42</v>
      </c>
      <c r="E35" s="42">
        <f t="shared" si="1"/>
        <v>999.54000000000008</v>
      </c>
      <c r="F35" s="48">
        <f t="shared" si="9"/>
        <v>678.7</v>
      </c>
      <c r="G35" s="41">
        <f t="shared" si="3"/>
        <v>855.16200000000003</v>
      </c>
      <c r="H35" s="42">
        <f t="shared" si="4"/>
        <v>1099.4940000000001</v>
      </c>
    </row>
    <row r="36" spans="1:8" ht="54" x14ac:dyDescent="0.5">
      <c r="A36" s="39" t="s">
        <v>130</v>
      </c>
      <c r="B36" s="40" t="s">
        <v>139</v>
      </c>
      <c r="C36" s="48">
        <v>8.0850000000000009</v>
      </c>
      <c r="D36" s="41">
        <f t="shared" si="0"/>
        <v>10.187100000000001</v>
      </c>
      <c r="E36" s="42">
        <f t="shared" si="1"/>
        <v>13.097700000000001</v>
      </c>
      <c r="F36" s="48">
        <f t="shared" si="9"/>
        <v>8.8935000000000013</v>
      </c>
      <c r="G36" s="41">
        <f t="shared" si="3"/>
        <v>11.205810000000001</v>
      </c>
      <c r="H36" s="42">
        <f t="shared" si="4"/>
        <v>14.407470000000004</v>
      </c>
    </row>
    <row r="37" spans="1:8" ht="36" x14ac:dyDescent="0.5">
      <c r="A37" s="39" t="s">
        <v>140</v>
      </c>
      <c r="B37" s="40" t="s">
        <v>141</v>
      </c>
      <c r="C37" s="48">
        <v>94.600000000000009</v>
      </c>
      <c r="D37" s="41">
        <f t="shared" si="0"/>
        <v>119.19600000000001</v>
      </c>
      <c r="E37" s="42">
        <f t="shared" si="1"/>
        <v>153.25200000000004</v>
      </c>
      <c r="F37" s="48">
        <f t="shared" si="9"/>
        <v>104.06000000000002</v>
      </c>
      <c r="G37" s="41">
        <f t="shared" si="3"/>
        <v>131.11560000000003</v>
      </c>
      <c r="H37" s="42">
        <f t="shared" si="4"/>
        <v>168.57720000000003</v>
      </c>
    </row>
    <row r="38" spans="1:8" x14ac:dyDescent="0.5">
      <c r="A38" s="39" t="s">
        <v>140</v>
      </c>
      <c r="B38" s="40" t="s">
        <v>142</v>
      </c>
      <c r="C38" s="48">
        <v>115.33500000000001</v>
      </c>
      <c r="D38" s="41">
        <f t="shared" si="0"/>
        <v>145.32210000000001</v>
      </c>
      <c r="E38" s="42">
        <f t="shared" si="1"/>
        <v>186.84270000000004</v>
      </c>
      <c r="F38" s="48">
        <f t="shared" si="9"/>
        <v>126.86850000000003</v>
      </c>
      <c r="G38" s="41">
        <f t="shared" si="3"/>
        <v>159.85431000000003</v>
      </c>
      <c r="H38" s="42">
        <f t="shared" si="4"/>
        <v>205.52697000000006</v>
      </c>
    </row>
    <row r="39" spans="1:8" ht="36" x14ac:dyDescent="0.5">
      <c r="A39" s="39" t="s">
        <v>140</v>
      </c>
      <c r="B39" s="40" t="s">
        <v>143</v>
      </c>
      <c r="C39" s="48">
        <v>94.600000000000009</v>
      </c>
      <c r="D39" s="41">
        <f t="shared" si="0"/>
        <v>119.19600000000001</v>
      </c>
      <c r="E39" s="42">
        <f t="shared" si="1"/>
        <v>153.25200000000004</v>
      </c>
      <c r="F39" s="48">
        <f t="shared" si="9"/>
        <v>104.06000000000002</v>
      </c>
      <c r="G39" s="41">
        <f t="shared" si="3"/>
        <v>131.11560000000003</v>
      </c>
      <c r="H39" s="42">
        <f t="shared" si="4"/>
        <v>168.57720000000003</v>
      </c>
    </row>
    <row r="40" spans="1:8" x14ac:dyDescent="0.5">
      <c r="A40" s="44" t="s">
        <v>140</v>
      </c>
      <c r="B40" s="45" t="s">
        <v>144</v>
      </c>
      <c r="C40" s="48">
        <v>0</v>
      </c>
      <c r="D40" s="41">
        <f t="shared" si="0"/>
        <v>0</v>
      </c>
      <c r="E40" s="42">
        <f t="shared" si="1"/>
        <v>0</v>
      </c>
      <c r="F40" s="48">
        <v>0</v>
      </c>
      <c r="G40" s="41">
        <f t="shared" si="3"/>
        <v>0</v>
      </c>
      <c r="H40" s="42">
        <f t="shared" si="4"/>
        <v>0</v>
      </c>
    </row>
    <row r="41" spans="1:8" ht="36" x14ac:dyDescent="0.5">
      <c r="A41" s="39" t="s">
        <v>140</v>
      </c>
      <c r="B41" s="40" t="s">
        <v>145</v>
      </c>
      <c r="C41" s="48">
        <v>49.555</v>
      </c>
      <c r="D41" s="41">
        <f t="shared" si="0"/>
        <v>62.439300000000003</v>
      </c>
      <c r="E41" s="42">
        <f t="shared" si="1"/>
        <v>80.2791</v>
      </c>
      <c r="F41" s="48">
        <f t="shared" ref="F41:F42" si="10">+C41*1.1</f>
        <v>54.510500000000008</v>
      </c>
      <c r="G41" s="41">
        <f t="shared" si="3"/>
        <v>68.683230000000009</v>
      </c>
      <c r="H41" s="42">
        <f t="shared" si="4"/>
        <v>88.30701000000002</v>
      </c>
    </row>
    <row r="42" spans="1:8" x14ac:dyDescent="0.5">
      <c r="A42" s="39" t="s">
        <v>140</v>
      </c>
      <c r="B42" s="40" t="s">
        <v>146</v>
      </c>
      <c r="C42" s="48">
        <v>6.6000000000000005</v>
      </c>
      <c r="D42" s="41">
        <f t="shared" si="0"/>
        <v>8.3160000000000007</v>
      </c>
      <c r="E42" s="42">
        <f t="shared" si="1"/>
        <v>10.692000000000002</v>
      </c>
      <c r="F42" s="48">
        <f t="shared" si="10"/>
        <v>7.2600000000000016</v>
      </c>
      <c r="G42" s="41">
        <f t="shared" si="3"/>
        <v>9.1476000000000024</v>
      </c>
      <c r="H42" s="42">
        <f t="shared" si="4"/>
        <v>11.761200000000004</v>
      </c>
    </row>
    <row r="43" spans="1:8" x14ac:dyDescent="0.5">
      <c r="A43" s="44" t="s">
        <v>140</v>
      </c>
      <c r="B43" s="45" t="s">
        <v>147</v>
      </c>
      <c r="C43" s="48">
        <v>0</v>
      </c>
      <c r="D43" s="41">
        <f t="shared" si="0"/>
        <v>0</v>
      </c>
      <c r="E43" s="42">
        <f t="shared" si="1"/>
        <v>0</v>
      </c>
      <c r="F43" s="48">
        <v>0</v>
      </c>
      <c r="G43" s="41">
        <f t="shared" si="3"/>
        <v>0</v>
      </c>
      <c r="H43" s="42">
        <f t="shared" si="4"/>
        <v>0</v>
      </c>
    </row>
    <row r="44" spans="1:8" x14ac:dyDescent="0.5">
      <c r="A44" s="44" t="s">
        <v>140</v>
      </c>
      <c r="B44" s="45" t="s">
        <v>148</v>
      </c>
      <c r="C44" s="48">
        <v>0</v>
      </c>
      <c r="D44" s="41">
        <f t="shared" si="0"/>
        <v>0</v>
      </c>
      <c r="E44" s="42">
        <f t="shared" si="1"/>
        <v>0</v>
      </c>
      <c r="F44" s="48">
        <v>0</v>
      </c>
      <c r="G44" s="41">
        <f t="shared" si="3"/>
        <v>0</v>
      </c>
      <c r="H44" s="42">
        <f t="shared" si="4"/>
        <v>0</v>
      </c>
    </row>
    <row r="45" spans="1:8" x14ac:dyDescent="0.5">
      <c r="A45" s="39" t="s">
        <v>140</v>
      </c>
      <c r="B45" s="40" t="s">
        <v>149</v>
      </c>
      <c r="C45" s="48">
        <v>84.204999999999998</v>
      </c>
      <c r="D45" s="41">
        <f t="shared" si="0"/>
        <v>106.09829999999999</v>
      </c>
      <c r="E45" s="42">
        <f t="shared" si="1"/>
        <v>136.41210000000001</v>
      </c>
      <c r="F45" s="48">
        <f t="shared" ref="F45:F46" si="11">+C45*1.1</f>
        <v>92.625500000000002</v>
      </c>
      <c r="G45" s="41">
        <f t="shared" si="3"/>
        <v>116.70813</v>
      </c>
      <c r="H45" s="42">
        <f t="shared" si="4"/>
        <v>150.05331000000001</v>
      </c>
    </row>
    <row r="46" spans="1:8" x14ac:dyDescent="0.5">
      <c r="A46" s="39" t="s">
        <v>140</v>
      </c>
      <c r="B46" s="40" t="s">
        <v>150</v>
      </c>
      <c r="C46" s="48">
        <v>44.95</v>
      </c>
      <c r="D46" s="41">
        <f t="shared" si="0"/>
        <v>56.637</v>
      </c>
      <c r="E46" s="42">
        <f t="shared" si="1"/>
        <v>72.819000000000003</v>
      </c>
      <c r="F46" s="48">
        <f t="shared" si="11"/>
        <v>49.445000000000007</v>
      </c>
      <c r="G46" s="41">
        <f t="shared" si="3"/>
        <v>62.300700000000013</v>
      </c>
      <c r="H46" s="42">
        <f t="shared" si="4"/>
        <v>80.100900000000024</v>
      </c>
    </row>
    <row r="47" spans="1:8" ht="54" x14ac:dyDescent="0.5">
      <c r="A47" s="39" t="s">
        <v>140</v>
      </c>
      <c r="B47" s="40" t="s">
        <v>151</v>
      </c>
      <c r="C47" s="48">
        <v>145.44</v>
      </c>
      <c r="D47" s="41">
        <f t="shared" si="0"/>
        <v>183.2544</v>
      </c>
      <c r="E47" s="42">
        <f t="shared" si="1"/>
        <v>235.61280000000002</v>
      </c>
      <c r="F47" s="48">
        <v>161.03</v>
      </c>
      <c r="G47" s="49">
        <f t="shared" si="3"/>
        <v>202.89779999999999</v>
      </c>
      <c r="H47" s="49">
        <f t="shared" si="4"/>
        <v>260.86860000000001</v>
      </c>
    </row>
    <row r="48" spans="1:8" x14ac:dyDescent="0.5">
      <c r="A48" s="39" t="s">
        <v>140</v>
      </c>
      <c r="B48" s="40" t="s">
        <v>152</v>
      </c>
      <c r="C48" s="59"/>
      <c r="D48" s="41">
        <f t="shared" si="0"/>
        <v>0</v>
      </c>
      <c r="E48" s="42">
        <f t="shared" si="1"/>
        <v>0</v>
      </c>
      <c r="F48" s="48"/>
      <c r="G48" s="41">
        <f t="shared" si="3"/>
        <v>0</v>
      </c>
      <c r="H48" s="42">
        <f t="shared" si="4"/>
        <v>0</v>
      </c>
    </row>
    <row r="49" spans="1:8" x14ac:dyDescent="0.5">
      <c r="A49" s="39" t="s">
        <v>140</v>
      </c>
      <c r="B49" s="40" t="s">
        <v>120</v>
      </c>
      <c r="C49" s="48">
        <v>26.400000000000002</v>
      </c>
      <c r="D49" s="41">
        <f t="shared" si="0"/>
        <v>33.264000000000003</v>
      </c>
      <c r="E49" s="42">
        <f t="shared" si="1"/>
        <v>42.768000000000008</v>
      </c>
      <c r="F49" s="48">
        <f>+C49*1.1</f>
        <v>29.040000000000006</v>
      </c>
      <c r="G49" s="41">
        <f t="shared" si="3"/>
        <v>36.59040000000001</v>
      </c>
      <c r="H49" s="42">
        <f t="shared" si="4"/>
        <v>47.044800000000016</v>
      </c>
    </row>
    <row r="50" spans="1:8" x14ac:dyDescent="0.5">
      <c r="A50" s="44" t="s">
        <v>140</v>
      </c>
      <c r="B50" s="45" t="s">
        <v>153</v>
      </c>
      <c r="C50" s="59"/>
      <c r="D50" s="41">
        <f t="shared" si="0"/>
        <v>0</v>
      </c>
      <c r="E50" s="42">
        <f t="shared" si="1"/>
        <v>0</v>
      </c>
      <c r="F50" s="59"/>
      <c r="G50" s="41">
        <f t="shared" si="3"/>
        <v>0</v>
      </c>
      <c r="H50" s="42">
        <f t="shared" si="4"/>
        <v>0</v>
      </c>
    </row>
    <row r="51" spans="1:8" ht="36" x14ac:dyDescent="0.5">
      <c r="A51" s="39" t="s">
        <v>140</v>
      </c>
      <c r="B51" s="40" t="s">
        <v>154</v>
      </c>
      <c r="C51" s="48">
        <v>109.72500000000001</v>
      </c>
      <c r="D51" s="41">
        <f t="shared" si="0"/>
        <v>138.2535</v>
      </c>
      <c r="E51" s="42">
        <f t="shared" si="1"/>
        <v>177.75450000000004</v>
      </c>
      <c r="F51" s="48">
        <f t="shared" ref="F51:F54" si="12">+C51*1.1</f>
        <v>120.69750000000002</v>
      </c>
      <c r="G51" s="41">
        <f t="shared" si="3"/>
        <v>152.07885000000002</v>
      </c>
      <c r="H51" s="42">
        <f t="shared" si="4"/>
        <v>195.52995000000004</v>
      </c>
    </row>
    <row r="52" spans="1:8" ht="36" x14ac:dyDescent="0.5">
      <c r="A52" s="39" t="s">
        <v>140</v>
      </c>
      <c r="B52" s="40" t="s">
        <v>155</v>
      </c>
      <c r="C52" s="48">
        <v>109.48</v>
      </c>
      <c r="D52" s="41">
        <f t="shared" si="0"/>
        <v>137.94480000000001</v>
      </c>
      <c r="E52" s="42">
        <f t="shared" si="1"/>
        <v>177.35760000000002</v>
      </c>
      <c r="F52" s="48">
        <f t="shared" si="12"/>
        <v>120.42800000000001</v>
      </c>
      <c r="G52" s="41">
        <f t="shared" si="3"/>
        <v>151.73928000000001</v>
      </c>
      <c r="H52" s="42">
        <f t="shared" si="4"/>
        <v>195.09336000000002</v>
      </c>
    </row>
    <row r="53" spans="1:8" x14ac:dyDescent="0.5">
      <c r="A53" s="39" t="s">
        <v>156</v>
      </c>
      <c r="B53" s="40" t="s">
        <v>157</v>
      </c>
      <c r="C53" s="48">
        <v>15.180000000000001</v>
      </c>
      <c r="D53" s="41">
        <f t="shared" si="0"/>
        <v>19.126800000000003</v>
      </c>
      <c r="E53" s="42">
        <f t="shared" si="1"/>
        <v>24.591600000000003</v>
      </c>
      <c r="F53" s="48">
        <f t="shared" si="12"/>
        <v>16.698000000000004</v>
      </c>
      <c r="G53" s="41">
        <f t="shared" si="3"/>
        <v>21.039480000000005</v>
      </c>
      <c r="H53" s="42">
        <f t="shared" si="4"/>
        <v>27.050760000000007</v>
      </c>
    </row>
    <row r="54" spans="1:8" ht="54" x14ac:dyDescent="0.5">
      <c r="A54" s="39" t="s">
        <v>158</v>
      </c>
      <c r="B54" s="40" t="s">
        <v>159</v>
      </c>
      <c r="C54" s="48">
        <v>200.20000000000002</v>
      </c>
      <c r="D54" s="41">
        <f t="shared" si="0"/>
        <v>252.25200000000001</v>
      </c>
      <c r="E54" s="42">
        <f t="shared" si="1"/>
        <v>324.32400000000007</v>
      </c>
      <c r="F54" s="48">
        <f t="shared" si="12"/>
        <v>220.22000000000003</v>
      </c>
      <c r="G54" s="41">
        <f t="shared" si="3"/>
        <v>277.47720000000004</v>
      </c>
      <c r="H54" s="42">
        <f t="shared" si="4"/>
        <v>356.75640000000004</v>
      </c>
    </row>
    <row r="55" spans="1:8" x14ac:dyDescent="0.5">
      <c r="A55" s="50" t="s">
        <v>158</v>
      </c>
      <c r="B55" s="51" t="s">
        <v>160</v>
      </c>
      <c r="C55" s="48">
        <v>0</v>
      </c>
      <c r="D55" s="41">
        <f t="shared" si="0"/>
        <v>0</v>
      </c>
      <c r="E55" s="42">
        <f t="shared" si="1"/>
        <v>0</v>
      </c>
      <c r="F55" s="48">
        <v>0</v>
      </c>
      <c r="G55" s="41">
        <f t="shared" si="3"/>
        <v>0</v>
      </c>
      <c r="H55" s="42">
        <f t="shared" si="4"/>
        <v>0</v>
      </c>
    </row>
    <row r="56" spans="1:8" x14ac:dyDescent="0.5">
      <c r="A56" s="39" t="s">
        <v>161</v>
      </c>
      <c r="B56" s="40" t="s">
        <v>162</v>
      </c>
      <c r="C56" s="48">
        <v>35.695000000000007</v>
      </c>
      <c r="D56" s="41">
        <f t="shared" si="0"/>
        <v>44.97570000000001</v>
      </c>
      <c r="E56" s="42">
        <f t="shared" si="1"/>
        <v>57.825900000000019</v>
      </c>
      <c r="F56" s="48">
        <f>+C56*1.1</f>
        <v>39.264500000000012</v>
      </c>
      <c r="G56" s="41">
        <f t="shared" si="3"/>
        <v>49.473270000000014</v>
      </c>
      <c r="H56" s="42">
        <f t="shared" si="4"/>
        <v>63.608490000000025</v>
      </c>
    </row>
    <row r="57" spans="1:8" x14ac:dyDescent="0.5">
      <c r="A57" s="52" t="s">
        <v>163</v>
      </c>
      <c r="B57" s="53"/>
      <c r="C57" s="61"/>
      <c r="D57" s="54"/>
      <c r="E57" s="54"/>
      <c r="F57" s="61"/>
      <c r="G57" s="54"/>
      <c r="H57" s="54"/>
    </row>
    <row r="58" spans="1:8" ht="36" x14ac:dyDescent="0.5">
      <c r="A58" s="55" t="s">
        <v>130</v>
      </c>
      <c r="B58" s="56" t="s">
        <v>164</v>
      </c>
      <c r="C58" s="48">
        <v>16.445</v>
      </c>
      <c r="D58" s="57">
        <f t="shared" ref="D58:D63" si="13">+C58*1.26</f>
        <v>20.720700000000001</v>
      </c>
      <c r="E58" s="57">
        <f t="shared" ref="E58:E63" si="14">+C58*1.62</f>
        <v>26.640900000000002</v>
      </c>
      <c r="F58" s="48">
        <f t="shared" ref="F58:F63" si="15">+C58*1.1</f>
        <v>18.089500000000001</v>
      </c>
      <c r="G58" s="57">
        <f t="shared" ref="G58:G63" si="16">+F58*1.26</f>
        <v>22.792770000000001</v>
      </c>
      <c r="H58" s="57">
        <f t="shared" ref="H58:H63" si="17">+F58*1.62</f>
        <v>29.304990000000004</v>
      </c>
    </row>
    <row r="59" spans="1:8" ht="36" x14ac:dyDescent="0.5">
      <c r="A59" s="55" t="s">
        <v>130</v>
      </c>
      <c r="B59" s="56" t="s">
        <v>165</v>
      </c>
      <c r="C59" s="48">
        <v>29.425000000000001</v>
      </c>
      <c r="D59" s="57">
        <f t="shared" si="13"/>
        <v>37.075499999999998</v>
      </c>
      <c r="E59" s="57">
        <f t="shared" si="14"/>
        <v>47.668500000000002</v>
      </c>
      <c r="F59" s="48">
        <f t="shared" si="15"/>
        <v>32.367500000000007</v>
      </c>
      <c r="G59" s="57">
        <f t="shared" si="16"/>
        <v>40.78305000000001</v>
      </c>
      <c r="H59" s="57">
        <f t="shared" si="17"/>
        <v>52.435350000000014</v>
      </c>
    </row>
    <row r="60" spans="1:8" ht="36" x14ac:dyDescent="0.5">
      <c r="A60" s="55" t="s">
        <v>130</v>
      </c>
      <c r="B60" s="56" t="s">
        <v>166</v>
      </c>
      <c r="C60" s="48">
        <v>35.200000000000003</v>
      </c>
      <c r="D60" s="57">
        <f t="shared" si="13"/>
        <v>44.352000000000004</v>
      </c>
      <c r="E60" s="57">
        <f t="shared" si="14"/>
        <v>57.024000000000008</v>
      </c>
      <c r="F60" s="48">
        <f t="shared" si="15"/>
        <v>38.720000000000006</v>
      </c>
      <c r="G60" s="57">
        <f t="shared" si="16"/>
        <v>48.787200000000006</v>
      </c>
      <c r="H60" s="57">
        <f t="shared" si="17"/>
        <v>62.726400000000012</v>
      </c>
    </row>
    <row r="61" spans="1:8" ht="36" x14ac:dyDescent="0.5">
      <c r="A61" s="55" t="s">
        <v>130</v>
      </c>
      <c r="B61" s="56" t="s">
        <v>167</v>
      </c>
      <c r="C61" s="48">
        <v>40.975000000000001</v>
      </c>
      <c r="D61" s="57">
        <f t="shared" si="13"/>
        <v>51.628500000000003</v>
      </c>
      <c r="E61" s="57">
        <f t="shared" si="14"/>
        <v>66.379500000000007</v>
      </c>
      <c r="F61" s="48">
        <f t="shared" si="15"/>
        <v>45.072500000000005</v>
      </c>
      <c r="G61" s="57">
        <f t="shared" si="16"/>
        <v>56.791350000000008</v>
      </c>
      <c r="H61" s="57">
        <f t="shared" si="17"/>
        <v>73.017450000000011</v>
      </c>
    </row>
    <row r="62" spans="1:8" ht="36" x14ac:dyDescent="0.5">
      <c r="A62" s="55" t="s">
        <v>130</v>
      </c>
      <c r="B62" s="56" t="s">
        <v>168</v>
      </c>
      <c r="C62" s="48">
        <v>45.925000000000004</v>
      </c>
      <c r="D62" s="57">
        <f t="shared" si="13"/>
        <v>57.865500000000004</v>
      </c>
      <c r="E62" s="57">
        <f t="shared" si="14"/>
        <v>74.398500000000013</v>
      </c>
      <c r="F62" s="48">
        <f t="shared" si="15"/>
        <v>50.517500000000005</v>
      </c>
      <c r="G62" s="57">
        <f t="shared" si="16"/>
        <v>63.65205000000001</v>
      </c>
      <c r="H62" s="57">
        <f t="shared" si="17"/>
        <v>81.83835000000002</v>
      </c>
    </row>
    <row r="63" spans="1:8" ht="36" x14ac:dyDescent="0.5">
      <c r="A63" s="55" t="s">
        <v>130</v>
      </c>
      <c r="B63" s="56" t="s">
        <v>169</v>
      </c>
      <c r="C63" s="48">
        <v>47.575000000000003</v>
      </c>
      <c r="D63" s="57">
        <f t="shared" si="13"/>
        <v>59.944500000000005</v>
      </c>
      <c r="E63" s="57">
        <f t="shared" si="14"/>
        <v>77.071500000000015</v>
      </c>
      <c r="F63" s="48">
        <f t="shared" si="15"/>
        <v>52.33250000000001</v>
      </c>
      <c r="G63" s="57">
        <f t="shared" si="16"/>
        <v>65.93895000000002</v>
      </c>
      <c r="H63" s="57">
        <f t="shared" si="17"/>
        <v>84.778650000000027</v>
      </c>
    </row>
  </sheetData>
  <pageMargins left="0.25" right="0.25" top="0.25" bottom="0.25" header="0.3" footer="0.3"/>
  <pageSetup scale="99" fitToHeight="0" orientation="portrait"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tabColor theme="9" tint="-0.249977111117893"/>
    <pageSetUpPr fitToPage="1"/>
  </sheetPr>
  <dimension ref="A1:J30"/>
  <sheetViews>
    <sheetView workbookViewId="0">
      <selection activeCell="C15" sqref="C15"/>
    </sheetView>
  </sheetViews>
  <sheetFormatPr defaultColWidth="8.77734375" defaultRowHeight="14.4" x14ac:dyDescent="0.3"/>
  <cols>
    <col min="1" max="1" width="20.109375" customWidth="1"/>
    <col min="2" max="2" width="3.44140625" customWidth="1"/>
    <col min="3" max="3" width="6.109375" customWidth="1"/>
    <col min="4" max="4" width="11.33203125" style="65" customWidth="1"/>
    <col min="5" max="5" width="12.44140625" customWidth="1"/>
    <col min="6" max="6" width="11.6640625" customWidth="1"/>
    <col min="7" max="7" width="10.44140625" style="65" customWidth="1"/>
    <col min="8" max="8" width="13.44140625" style="65" customWidth="1"/>
  </cols>
  <sheetData>
    <row r="1" spans="1:10" ht="28.8" x14ac:dyDescent="0.3">
      <c r="A1" s="64" t="s">
        <v>170</v>
      </c>
      <c r="D1" s="65" t="s">
        <v>171</v>
      </c>
      <c r="E1" t="s">
        <v>172</v>
      </c>
      <c r="F1" s="66" t="s">
        <v>173</v>
      </c>
      <c r="G1" s="65" t="s">
        <v>174</v>
      </c>
      <c r="H1" s="65" t="s">
        <v>175</v>
      </c>
    </row>
    <row r="3" spans="1:10" x14ac:dyDescent="0.3">
      <c r="A3" t="s">
        <v>176</v>
      </c>
      <c r="C3">
        <v>109</v>
      </c>
      <c r="D3" s="65">
        <v>94.6</v>
      </c>
      <c r="E3" s="67">
        <f t="shared" ref="E3:E9" si="0">+C3*D3</f>
        <v>10311.4</v>
      </c>
      <c r="F3" s="67">
        <f>+E3-(C3*6)</f>
        <v>9657.4</v>
      </c>
      <c r="G3" s="65">
        <f>+D3*1.05</f>
        <v>99.33</v>
      </c>
      <c r="H3" s="65">
        <f t="shared" ref="H3:H9" si="1">+C3*G3</f>
        <v>10826.97</v>
      </c>
      <c r="J3" s="67"/>
    </row>
    <row r="4" spans="1:10" x14ac:dyDescent="0.3">
      <c r="A4" t="s">
        <v>177</v>
      </c>
      <c r="C4">
        <v>66</v>
      </c>
      <c r="D4" s="65">
        <v>94.6</v>
      </c>
      <c r="E4" s="67">
        <f t="shared" si="0"/>
        <v>6243.5999999999995</v>
      </c>
      <c r="F4" s="67">
        <f>+E4-(C4*6)</f>
        <v>5847.5999999999995</v>
      </c>
      <c r="G4" s="65">
        <f>+D4*1.05</f>
        <v>99.33</v>
      </c>
      <c r="H4" s="65">
        <f t="shared" si="1"/>
        <v>6555.78</v>
      </c>
    </row>
    <row r="5" spans="1:10" x14ac:dyDescent="0.3">
      <c r="A5" t="s">
        <v>178</v>
      </c>
      <c r="C5">
        <v>41</v>
      </c>
      <c r="D5" s="65">
        <v>49.56</v>
      </c>
      <c r="E5" s="67">
        <f t="shared" si="0"/>
        <v>2031.96</v>
      </c>
      <c r="F5" s="67">
        <f>+E5</f>
        <v>2031.96</v>
      </c>
      <c r="G5" s="65">
        <f>+D5*1.05</f>
        <v>52.038000000000004</v>
      </c>
      <c r="H5" s="65">
        <f t="shared" si="1"/>
        <v>2133.558</v>
      </c>
    </row>
    <row r="6" spans="1:10" x14ac:dyDescent="0.3">
      <c r="A6" t="s">
        <v>179</v>
      </c>
      <c r="C6">
        <v>4</v>
      </c>
      <c r="D6" s="65">
        <v>84.21</v>
      </c>
      <c r="E6" s="67">
        <f t="shared" si="0"/>
        <v>336.84</v>
      </c>
      <c r="F6" s="67">
        <f>+E6-(C6*6)</f>
        <v>312.83999999999997</v>
      </c>
      <c r="G6" s="65">
        <f>+D6*1.05</f>
        <v>88.420500000000004</v>
      </c>
      <c r="H6" s="65">
        <f t="shared" si="1"/>
        <v>353.68200000000002</v>
      </c>
    </row>
    <row r="7" spans="1:10" x14ac:dyDescent="0.3">
      <c r="A7" t="s">
        <v>180</v>
      </c>
      <c r="C7">
        <v>42</v>
      </c>
      <c r="D7" s="65">
        <v>44.95</v>
      </c>
      <c r="E7" s="67">
        <f t="shared" si="0"/>
        <v>1887.9</v>
      </c>
      <c r="F7" s="67">
        <f>+E7-(C7*3)</f>
        <v>1761.9</v>
      </c>
      <c r="G7" s="65">
        <f>+D7*1.05</f>
        <v>47.197500000000005</v>
      </c>
      <c r="H7" s="65">
        <f t="shared" si="1"/>
        <v>1982.2950000000003</v>
      </c>
    </row>
    <row r="8" spans="1:10" x14ac:dyDescent="0.3">
      <c r="A8" t="s">
        <v>181</v>
      </c>
      <c r="C8">
        <v>47</v>
      </c>
      <c r="D8" s="65">
        <v>145.44</v>
      </c>
      <c r="E8" s="67">
        <f t="shared" si="0"/>
        <v>6835.68</v>
      </c>
      <c r="F8" s="67">
        <f>+E8-(C8*80)</f>
        <v>3075.6800000000003</v>
      </c>
      <c r="G8" s="68">
        <v>161.03</v>
      </c>
      <c r="H8" s="65">
        <f t="shared" si="1"/>
        <v>7568.41</v>
      </c>
    </row>
    <row r="9" spans="1:10" x14ac:dyDescent="0.3">
      <c r="A9" t="s">
        <v>182</v>
      </c>
      <c r="C9">
        <v>373</v>
      </c>
      <c r="D9" s="65">
        <v>109.48</v>
      </c>
      <c r="E9" s="67">
        <f t="shared" si="0"/>
        <v>40836.04</v>
      </c>
      <c r="F9" s="67">
        <f>+E9-(C9*14)</f>
        <v>35614.04</v>
      </c>
      <c r="G9" s="65">
        <f>+D9*1.05</f>
        <v>114.95400000000001</v>
      </c>
      <c r="H9" s="65">
        <f t="shared" si="1"/>
        <v>42877.842000000004</v>
      </c>
    </row>
    <row r="10" spans="1:10" x14ac:dyDescent="0.3">
      <c r="E10" s="67"/>
      <c r="F10" s="67"/>
    </row>
    <row r="12" spans="1:10" x14ac:dyDescent="0.3">
      <c r="E12" s="67">
        <f>SUM(E3:E9)</f>
        <v>68483.42</v>
      </c>
      <c r="F12" s="67">
        <f>SUM(F3:F9)</f>
        <v>58301.42</v>
      </c>
      <c r="H12" s="67">
        <f>SUM(H3:H9)</f>
        <v>72298.537000000011</v>
      </c>
    </row>
    <row r="13" spans="1:10" x14ac:dyDescent="0.3">
      <c r="E13" t="s">
        <v>172</v>
      </c>
      <c r="F13" t="s">
        <v>183</v>
      </c>
    </row>
    <row r="14" spans="1:10" x14ac:dyDescent="0.3">
      <c r="A14" s="10" t="s">
        <v>184</v>
      </c>
      <c r="B14" s="10"/>
      <c r="C14" s="10"/>
      <c r="D14" s="69"/>
      <c r="E14" s="10"/>
      <c r="F14" s="10"/>
      <c r="G14" s="69"/>
      <c r="H14" s="69"/>
    </row>
    <row r="15" spans="1:10" x14ac:dyDescent="0.3">
      <c r="A15" s="10"/>
      <c r="B15" s="10"/>
      <c r="C15" s="10" t="s">
        <v>185</v>
      </c>
      <c r="D15" s="69"/>
      <c r="E15" s="10"/>
      <c r="F15" s="10"/>
      <c r="G15" s="69"/>
      <c r="H15" s="69"/>
    </row>
    <row r="16" spans="1:10" x14ac:dyDescent="0.3">
      <c r="A16" s="10"/>
      <c r="B16" s="10"/>
      <c r="C16" s="10" t="s">
        <v>186</v>
      </c>
      <c r="D16" s="69"/>
      <c r="E16" s="10"/>
      <c r="F16" s="10"/>
      <c r="G16" s="69"/>
      <c r="H16" s="69"/>
    </row>
    <row r="17" spans="1:8" x14ac:dyDescent="0.3">
      <c r="A17" s="10"/>
      <c r="B17" s="10"/>
      <c r="C17" s="10" t="s">
        <v>187</v>
      </c>
      <c r="D17" s="69"/>
      <c r="E17" s="10"/>
      <c r="F17" s="10"/>
      <c r="G17" s="69"/>
      <c r="H17" s="69"/>
    </row>
    <row r="18" spans="1:8" x14ac:dyDescent="0.3">
      <c r="A18" t="s">
        <v>188</v>
      </c>
      <c r="C18" t="s">
        <v>189</v>
      </c>
    </row>
    <row r="19" spans="1:8" x14ac:dyDescent="0.3">
      <c r="A19" s="10" t="s">
        <v>190</v>
      </c>
      <c r="B19" s="10"/>
      <c r="C19" s="10" t="s">
        <v>191</v>
      </c>
      <c r="D19" s="69"/>
      <c r="E19" s="10"/>
      <c r="F19" s="10"/>
      <c r="G19" s="69"/>
      <c r="H19" s="69"/>
    </row>
    <row r="20" spans="1:8" x14ac:dyDescent="0.3">
      <c r="A20" t="s">
        <v>192</v>
      </c>
      <c r="C20" t="s">
        <v>193</v>
      </c>
    </row>
    <row r="21" spans="1:8" x14ac:dyDescent="0.3">
      <c r="C21" t="s">
        <v>194</v>
      </c>
    </row>
    <row r="22" spans="1:8" x14ac:dyDescent="0.3">
      <c r="C22" t="s">
        <v>195</v>
      </c>
    </row>
    <row r="23" spans="1:8" x14ac:dyDescent="0.3">
      <c r="A23" s="10" t="s">
        <v>196</v>
      </c>
      <c r="B23" s="10"/>
      <c r="C23" s="10" t="s">
        <v>197</v>
      </c>
      <c r="D23" s="69"/>
      <c r="E23" s="10"/>
      <c r="F23" s="10"/>
      <c r="G23" s="69"/>
      <c r="H23" s="69"/>
    </row>
    <row r="24" spans="1:8" x14ac:dyDescent="0.3">
      <c r="A24" s="10"/>
      <c r="B24" s="10"/>
      <c r="C24" s="10" t="s">
        <v>198</v>
      </c>
      <c r="D24" s="69"/>
      <c r="E24" s="10"/>
      <c r="F24" s="10"/>
      <c r="G24" s="69"/>
      <c r="H24" s="69"/>
    </row>
    <row r="25" spans="1:8" x14ac:dyDescent="0.3">
      <c r="A25" s="10"/>
      <c r="B25" s="10"/>
      <c r="C25" s="10" t="s">
        <v>199</v>
      </c>
      <c r="D25" s="69"/>
      <c r="E25" s="10"/>
      <c r="F25" s="10"/>
      <c r="G25" s="69"/>
      <c r="H25" s="69"/>
    </row>
    <row r="26" spans="1:8" x14ac:dyDescent="0.3">
      <c r="A26" s="10"/>
      <c r="B26" s="10"/>
      <c r="C26" s="10" t="s">
        <v>200</v>
      </c>
      <c r="D26" s="69"/>
      <c r="E26" s="10"/>
      <c r="F26" s="10"/>
      <c r="G26" s="69"/>
      <c r="H26" s="69"/>
    </row>
    <row r="27" spans="1:8" x14ac:dyDescent="0.3">
      <c r="A27" t="s">
        <v>201</v>
      </c>
      <c r="C27" t="s">
        <v>202</v>
      </c>
      <c r="G27" s="65" t="s">
        <v>203</v>
      </c>
    </row>
    <row r="28" spans="1:8" x14ac:dyDescent="0.3">
      <c r="C28" t="s">
        <v>204</v>
      </c>
    </row>
    <row r="29" spans="1:8" x14ac:dyDescent="0.3">
      <c r="C29" t="s">
        <v>205</v>
      </c>
    </row>
    <row r="30" spans="1:8" x14ac:dyDescent="0.3">
      <c r="C30" t="s">
        <v>206</v>
      </c>
    </row>
  </sheetData>
  <pageMargins left="0.25" right="0.25" top="0.25" bottom="0.25" header="0.3" footer="0.3"/>
  <pageSetup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theme="9" tint="-0.249977111117893"/>
  </sheetPr>
  <dimension ref="A1:H15"/>
  <sheetViews>
    <sheetView workbookViewId="0">
      <selection activeCell="E2" sqref="E2"/>
    </sheetView>
  </sheetViews>
  <sheetFormatPr defaultColWidth="8.77734375" defaultRowHeight="14.4" x14ac:dyDescent="0.3"/>
  <cols>
    <col min="1" max="1" width="20" bestFit="1" customWidth="1"/>
    <col min="2" max="2" width="15" style="137" customWidth="1"/>
    <col min="3" max="3" width="14.33203125" style="137" customWidth="1"/>
    <col min="4" max="4" width="13.77734375" customWidth="1"/>
    <col min="5" max="5" width="14.77734375" customWidth="1"/>
  </cols>
  <sheetData>
    <row r="1" spans="1:8" ht="22.8" customHeight="1" x14ac:dyDescent="0.3">
      <c r="A1" s="126" t="s">
        <v>272</v>
      </c>
      <c r="B1" s="126" t="s">
        <v>273</v>
      </c>
      <c r="C1" s="265" t="s">
        <v>29</v>
      </c>
      <c r="D1" s="266" t="s">
        <v>281</v>
      </c>
      <c r="E1" s="126" t="s">
        <v>280</v>
      </c>
    </row>
    <row r="2" spans="1:8" x14ac:dyDescent="0.3">
      <c r="A2" s="141" t="str">
        <f>'Services &amp; Meds'!Z2</f>
        <v/>
      </c>
      <c r="B2" s="142" t="str">
        <f>'Services &amp; Meds'!AA2</f>
        <v/>
      </c>
      <c r="C2" s="267"/>
      <c r="D2" s="268"/>
      <c r="E2" s="157" t="str">
        <f>IF(A2="","",C2*D2)</f>
        <v/>
      </c>
    </row>
    <row r="3" spans="1:8" x14ac:dyDescent="0.3">
      <c r="A3" s="112" t="str">
        <f>'Services &amp; Meds'!Z3</f>
        <v/>
      </c>
      <c r="B3" s="143" t="str">
        <f>'Services &amp; Meds'!AA3</f>
        <v/>
      </c>
      <c r="C3" s="269"/>
      <c r="D3" s="270"/>
      <c r="E3" s="156" t="str">
        <f>IF(A3="","",C3*D3)</f>
        <v/>
      </c>
    </row>
    <row r="4" spans="1:8" x14ac:dyDescent="0.3">
      <c r="A4" s="112" t="str">
        <f>'Services &amp; Meds'!Z4</f>
        <v/>
      </c>
      <c r="B4" s="143" t="str">
        <f>'Services &amp; Meds'!AA4</f>
        <v/>
      </c>
      <c r="C4" s="269"/>
      <c r="D4" s="270"/>
      <c r="E4" s="156" t="str">
        <f t="shared" ref="E4:E10" si="0">IF(A4="","",C4*D4)</f>
        <v/>
      </c>
    </row>
    <row r="5" spans="1:8" x14ac:dyDescent="0.3">
      <c r="A5" s="112" t="str">
        <f>'Services &amp; Meds'!Z5</f>
        <v/>
      </c>
      <c r="B5" s="143" t="str">
        <f>'Services &amp; Meds'!AA5</f>
        <v/>
      </c>
      <c r="C5" s="269"/>
      <c r="D5" s="270"/>
      <c r="E5" s="156" t="str">
        <f t="shared" si="0"/>
        <v/>
      </c>
    </row>
    <row r="6" spans="1:8" x14ac:dyDescent="0.3">
      <c r="A6" s="112" t="str">
        <f>'Services &amp; Meds'!Z6</f>
        <v/>
      </c>
      <c r="B6" s="143" t="str">
        <f>'Services &amp; Meds'!AA6</f>
        <v/>
      </c>
      <c r="C6" s="269"/>
      <c r="D6" s="270"/>
      <c r="E6" s="156" t="str">
        <f t="shared" si="0"/>
        <v/>
      </c>
    </row>
    <row r="7" spans="1:8" x14ac:dyDescent="0.3">
      <c r="A7" s="112" t="str">
        <f>'Services &amp; Meds'!Z7</f>
        <v/>
      </c>
      <c r="B7" s="143" t="str">
        <f>'Services &amp; Meds'!AA7</f>
        <v/>
      </c>
      <c r="C7" s="269"/>
      <c r="D7" s="270"/>
      <c r="E7" s="156" t="str">
        <f t="shared" si="0"/>
        <v/>
      </c>
      <c r="H7" s="12"/>
    </row>
    <row r="8" spans="1:8" x14ac:dyDescent="0.3">
      <c r="A8" s="112" t="str">
        <f>'Services &amp; Meds'!Z8</f>
        <v/>
      </c>
      <c r="B8" s="143" t="str">
        <f>'Services &amp; Meds'!AA8</f>
        <v/>
      </c>
      <c r="C8" s="269"/>
      <c r="D8" s="270"/>
      <c r="E8" s="156" t="str">
        <f t="shared" si="0"/>
        <v/>
      </c>
    </row>
    <row r="9" spans="1:8" x14ac:dyDescent="0.3">
      <c r="A9" s="112" t="str">
        <f>'Services &amp; Meds'!Z9</f>
        <v/>
      </c>
      <c r="B9" s="143" t="str">
        <f>'Services &amp; Meds'!AA9</f>
        <v/>
      </c>
      <c r="C9" s="269"/>
      <c r="D9" s="270"/>
      <c r="E9" s="156" t="str">
        <f t="shared" si="0"/>
        <v/>
      </c>
    </row>
    <row r="10" spans="1:8" x14ac:dyDescent="0.3">
      <c r="A10" s="144" t="str">
        <f>'Services &amp; Meds'!Z10</f>
        <v/>
      </c>
      <c r="B10" s="145" t="str">
        <f>'Services &amp; Meds'!AA10</f>
        <v/>
      </c>
      <c r="C10" s="271"/>
      <c r="D10" s="272"/>
      <c r="E10" s="158" t="str">
        <f t="shared" si="0"/>
        <v/>
      </c>
    </row>
    <row r="12" spans="1:8" x14ac:dyDescent="0.3">
      <c r="A12" t="s">
        <v>282</v>
      </c>
    </row>
    <row r="14" spans="1:8" x14ac:dyDescent="0.3">
      <c r="A14" s="473" t="s">
        <v>348</v>
      </c>
      <c r="B14" s="473"/>
      <c r="C14" s="473"/>
      <c r="D14" s="473"/>
      <c r="E14" s="473"/>
    </row>
    <row r="15" spans="1:8" x14ac:dyDescent="0.3">
      <c r="A15" s="473"/>
      <c r="B15" s="473"/>
      <c r="C15" s="473"/>
      <c r="D15" s="473"/>
      <c r="E15" s="473"/>
    </row>
  </sheetData>
  <sheetProtection algorithmName="SHA-512" hashValue="OErdjCoaJexQf81Itmvx/oGRWkp+HWJsNpkNZwwqiL6OFQoAhqgsnNNOs7W9DTbM0HZVNvajXzCNaRYfRzFkzg==" saltValue="y8OfWv2+axatmoAmGPVaHA==" spinCount="100000" sheet="1" objects="1" scenarios="1" selectLockedCells="1"/>
  <mergeCells count="1">
    <mergeCell ref="A14:E15"/>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7">
    <tabColor theme="9" tint="-0.249977111117893"/>
  </sheetPr>
  <dimension ref="A1:Z100"/>
  <sheetViews>
    <sheetView topLeftCell="B1" workbookViewId="0">
      <selection activeCell="C2" sqref="C2:D2"/>
    </sheetView>
  </sheetViews>
  <sheetFormatPr defaultColWidth="8.77734375" defaultRowHeight="14.4" x14ac:dyDescent="0.3"/>
  <cols>
    <col min="1" max="1" width="9.109375" style="199" hidden="1" customWidth="1"/>
    <col min="2" max="2" width="56.109375" style="148" customWidth="1"/>
    <col min="3" max="3" width="8.44140625" style="150" customWidth="1"/>
    <col min="4" max="4" width="11.44140625" style="151" customWidth="1"/>
    <col min="5" max="5" width="12.6640625" style="8" customWidth="1"/>
    <col min="6" max="6" width="5.44140625" style="8" hidden="1" customWidth="1"/>
    <col min="7" max="7" width="2" hidden="1" customWidth="1"/>
    <col min="8" max="8" width="57.44140625" hidden="1" customWidth="1"/>
    <col min="9" max="9" width="6.77734375" style="137" hidden="1" customWidth="1"/>
    <col min="10" max="11" width="8.77734375" hidden="1" customWidth="1"/>
    <col min="12" max="12" width="3" customWidth="1"/>
    <col min="13" max="13" width="20.44140625" hidden="1" customWidth="1"/>
    <col min="14" max="16" width="8.77734375" style="137" hidden="1" customWidth="1"/>
    <col min="17" max="17" width="8.77734375" hidden="1" customWidth="1"/>
    <col min="18" max="18" width="19.44140625" style="137" hidden="1" customWidth="1"/>
  </cols>
  <sheetData>
    <row r="1" spans="1:26" x14ac:dyDescent="0.3">
      <c r="B1" s="162" t="s">
        <v>283</v>
      </c>
      <c r="C1" s="474"/>
      <c r="D1" s="475"/>
      <c r="G1">
        <f>IF(H1="",0,1)</f>
        <v>0</v>
      </c>
      <c r="H1" t="str">
        <f>IF(C1="","",IF(Startup!C55&lt;1,"","Study Startup &amp; Training:"))</f>
        <v/>
      </c>
      <c r="I1" s="137" t="str">
        <f>IF(H1="","",1)</f>
        <v/>
      </c>
      <c r="J1" t="str">
        <f>IF(H1="","",E6)</f>
        <v/>
      </c>
      <c r="K1" t="str">
        <f>IF(H1="","",VLOOKUP(C1,Startup!L1:M3,2,FALSE))</f>
        <v/>
      </c>
      <c r="L1" s="160"/>
      <c r="M1" s="159">
        <f ca="1">MAX(G:G)</f>
        <v>0</v>
      </c>
      <c r="N1" s="142"/>
      <c r="O1" s="142"/>
      <c r="P1" s="143"/>
      <c r="R1" s="137" t="s">
        <v>314</v>
      </c>
      <c r="S1" s="477" t="s">
        <v>348</v>
      </c>
      <c r="T1" s="477"/>
      <c r="U1" s="477"/>
      <c r="V1" s="477"/>
      <c r="W1" s="477"/>
      <c r="X1" s="478"/>
      <c r="Y1" s="478"/>
      <c r="Z1" s="478"/>
    </row>
    <row r="2" spans="1:26" ht="13.8" customHeight="1" x14ac:dyDescent="0.3">
      <c r="B2" s="162"/>
      <c r="C2" s="475"/>
      <c r="D2" s="475"/>
      <c r="G2">
        <f>IF(H2="",0,(MAX(G1)+1))</f>
        <v>0</v>
      </c>
      <c r="H2" t="str">
        <f>IF(C1="","",IF(Maintenence!Z1="","",CONCATENATE("Annual Protocol Maintenance ",Maintenence!Y1,":")))</f>
        <v/>
      </c>
      <c r="I2" s="137" t="str">
        <f>IF(H2="","",'Protocol Cover Sheet'!Q16)</f>
        <v/>
      </c>
      <c r="J2" t="str">
        <f>IF(H2="","",Maintenence!Z1/I2)</f>
        <v/>
      </c>
      <c r="K2" t="str">
        <f>IF(H2="","",Maintenence!Z1)</f>
        <v/>
      </c>
      <c r="L2" s="160"/>
      <c r="M2" s="12"/>
      <c r="N2" s="143"/>
      <c r="O2" s="143"/>
      <c r="P2" s="143"/>
      <c r="R2" s="137" t="s">
        <v>315</v>
      </c>
      <c r="S2" s="477"/>
      <c r="T2" s="477"/>
      <c r="U2" s="477"/>
      <c r="V2" s="477"/>
      <c r="W2" s="477"/>
      <c r="X2" s="478"/>
      <c r="Y2" s="478"/>
      <c r="Z2" s="478"/>
    </row>
    <row r="3" spans="1:26" x14ac:dyDescent="0.3">
      <c r="C3" s="476" t="str">
        <f>IF(C1="","","Estimate Total:")</f>
        <v/>
      </c>
      <c r="D3" s="476"/>
      <c r="E3" s="149" t="str">
        <f>IF(C3="","",SUM(E6:E52))</f>
        <v/>
      </c>
      <c r="F3" s="149"/>
      <c r="G3">
        <f>IF(H3="",0,(MAX(G1:G2))+1)</f>
        <v>0</v>
      </c>
      <c r="H3" t="str">
        <f>IF(C1="","","Study Closure &amp; Archival Costs:")</f>
        <v/>
      </c>
      <c r="I3" s="137" t="str">
        <f>IF(H3="","",1)</f>
        <v/>
      </c>
      <c r="J3" t="str">
        <f>IF(H3="","",K3)</f>
        <v/>
      </c>
      <c r="K3" t="str">
        <f>IF(H3="","",IF(C1="Non-Industry",289.04,IF(C1="Industry",390.2,526.77)))</f>
        <v/>
      </c>
      <c r="L3" s="160"/>
      <c r="M3" s="12"/>
      <c r="N3" s="143"/>
      <c r="O3" s="143"/>
      <c r="P3" s="143"/>
      <c r="R3" s="137" t="s">
        <v>316</v>
      </c>
    </row>
    <row r="4" spans="1:26" ht="13.2" customHeight="1" x14ac:dyDescent="0.3">
      <c r="G4">
        <f>IF(H4="",0,(MAX($G$1:G3)+1))</f>
        <v>0</v>
      </c>
      <c r="H4" t="str">
        <f>IF('Services &amp; Meds'!V2&gt;0,CONCATENATE('Services &amp; Meds'!K2,": ",'Services &amp; Meds'!L2),"")</f>
        <v/>
      </c>
      <c r="I4" s="137" t="str">
        <f>IF('Services &amp; Meds'!V2&gt;0,'Services &amp; Meds'!R2,"")</f>
        <v/>
      </c>
      <c r="J4" t="str">
        <f>IF('Services &amp; Meds'!V2&gt;0,'Services &amp; Meds'!S2,"")</f>
        <v/>
      </c>
      <c r="K4" t="str">
        <f>IF('Services &amp; Meds'!V2&gt;0,'Services &amp; Meds'!V2,"")</f>
        <v/>
      </c>
      <c r="L4" s="160"/>
      <c r="M4" s="12"/>
      <c r="N4" s="143"/>
      <c r="O4" s="143"/>
      <c r="P4" s="143"/>
    </row>
    <row r="5" spans="1:26" x14ac:dyDescent="0.3">
      <c r="B5" s="152" t="s">
        <v>278</v>
      </c>
      <c r="C5" s="153" t="s">
        <v>29</v>
      </c>
      <c r="D5" s="153" t="s">
        <v>279</v>
      </c>
      <c r="E5" s="153" t="s">
        <v>280</v>
      </c>
      <c r="F5" s="200"/>
      <c r="G5">
        <f>IF(H5="",0,(MAX($G$1:G4)+1))</f>
        <v>0</v>
      </c>
      <c r="H5" t="str">
        <f>IF('Services &amp; Meds'!V3&gt;0,CONCATENATE('Services &amp; Meds'!K3,": ",'Services &amp; Meds'!L3),"")</f>
        <v/>
      </c>
      <c r="I5" s="163" t="str">
        <f>IF('Services &amp; Meds'!V3&gt;0,'Services &amp; Meds'!R3,"")</f>
        <v/>
      </c>
      <c r="J5" t="str">
        <f>IF('Services &amp; Meds'!V3&gt;0,'Services &amp; Meds'!S3,"")</f>
        <v/>
      </c>
      <c r="K5" t="str">
        <f>IF('Services &amp; Meds'!V3&gt;0,'Services &amp; Meds'!V3,"")</f>
        <v/>
      </c>
      <c r="L5" s="160"/>
      <c r="M5" s="12"/>
      <c r="N5" s="143"/>
      <c r="O5" s="143"/>
    </row>
    <row r="6" spans="1:26" ht="25.2" customHeight="1" x14ac:dyDescent="0.3">
      <c r="A6" s="199" t="str">
        <f ca="1">IF(M1&gt;0,1,"")</f>
        <v/>
      </c>
      <c r="B6" s="148" t="str">
        <f ca="1">IF(A6="","",VLOOKUP(A6,$G$1:$K$62,2,FALSE))</f>
        <v/>
      </c>
      <c r="C6" s="150" t="str">
        <f ca="1">IF(A6="","",VLOOKUP(A6,$G$1:$K$62,3,FALSE))</f>
        <v/>
      </c>
      <c r="D6" s="154" t="str">
        <f ca="1">IF(A6="","",VLOOKUP(A6,$G$1:$K$62,4,FALSE))</f>
        <v/>
      </c>
      <c r="E6" s="154" t="str">
        <f ca="1">IF(A6="","",VLOOKUP(A6,$G$1:$K$62,5,FALSE))</f>
        <v/>
      </c>
      <c r="F6" s="154"/>
      <c r="G6">
        <f>IF(H6="",0,(MAX($G$1:G5)+1))</f>
        <v>0</v>
      </c>
      <c r="H6" t="str">
        <f>IF('Services &amp; Meds'!V4&gt;0,CONCATENATE('Services &amp; Meds'!K4,": ",'Services &amp; Meds'!L4),"")</f>
        <v/>
      </c>
      <c r="I6" s="163" t="str">
        <f>IF('Services &amp; Meds'!V4&gt;0,'Services &amp; Meds'!R4,"")</f>
        <v/>
      </c>
      <c r="J6" t="str">
        <f>IF('Services &amp; Meds'!V4&gt;0,'Services &amp; Meds'!S4,"")</f>
        <v/>
      </c>
      <c r="K6" t="str">
        <f>IF('Services &amp; Meds'!V4&gt;0,'Services &amp; Meds'!V4,"")</f>
        <v/>
      </c>
      <c r="L6" s="160"/>
      <c r="M6" s="12"/>
      <c r="N6" s="143"/>
      <c r="O6" s="143"/>
    </row>
    <row r="7" spans="1:26" ht="25.2" customHeight="1" x14ac:dyDescent="0.3">
      <c r="A7" s="199" t="str">
        <f ca="1">IF(A6="","",IF($M$1&gt;=1+A6,A6+1,""))</f>
        <v/>
      </c>
      <c r="B7" s="148" t="str">
        <f t="shared" ref="B7:B70" ca="1" si="0">IF(A7="","",VLOOKUP(A7,$G$1:$K$62,2,FALSE))</f>
        <v/>
      </c>
      <c r="C7" s="150" t="str">
        <f t="shared" ref="C7:C52" ca="1" si="1">IF(A7="","",VLOOKUP(A7,$G$1:$K$62,3,FALSE))</f>
        <v/>
      </c>
      <c r="D7" s="154" t="str">
        <f t="shared" ref="D7:D52" ca="1" si="2">IF(A7="","",VLOOKUP(A7,$G$1:$K$62,4,FALSE))</f>
        <v/>
      </c>
      <c r="E7" s="154" t="str">
        <f t="shared" ref="E7:E52" ca="1" si="3">IF(A7="","",VLOOKUP(A7,$G$1:$K$62,5,FALSE))</f>
        <v/>
      </c>
      <c r="F7" s="154"/>
      <c r="G7">
        <f>IF(H7="",0,(MAX($G$1:G6)+1))</f>
        <v>0</v>
      </c>
      <c r="H7" t="str">
        <f>IF('Services &amp; Meds'!V5&gt;0,CONCATENATE('Services &amp; Meds'!K5,": ",'Services &amp; Meds'!L5),"")</f>
        <v/>
      </c>
      <c r="I7" s="163" t="str">
        <f>IF('Services &amp; Meds'!V5&gt;0,'Services &amp; Meds'!R5,"")</f>
        <v/>
      </c>
      <c r="J7" t="str">
        <f>IF('Services &amp; Meds'!V5&gt;0,'Services &amp; Meds'!S5,"")</f>
        <v/>
      </c>
      <c r="K7" t="str">
        <f>IF('Services &amp; Meds'!V5&gt;0,'Services &amp; Meds'!V5,"")</f>
        <v/>
      </c>
      <c r="L7" s="160"/>
      <c r="M7" s="12"/>
      <c r="N7" s="143"/>
      <c r="O7" s="143"/>
    </row>
    <row r="8" spans="1:26" ht="25.2" customHeight="1" x14ac:dyDescent="0.3">
      <c r="A8" s="199" t="str">
        <f t="shared" ref="A8:A71" ca="1" si="4">IF(A7="","",IF($M$1&gt;=1+A7,A7+1,""))</f>
        <v/>
      </c>
      <c r="B8" s="148" t="str">
        <f t="shared" ca="1" si="0"/>
        <v/>
      </c>
      <c r="C8" s="150" t="str">
        <f t="shared" ca="1" si="1"/>
        <v/>
      </c>
      <c r="D8" s="154" t="str">
        <f t="shared" ca="1" si="2"/>
        <v/>
      </c>
      <c r="E8" s="154" t="str">
        <f t="shared" ca="1" si="3"/>
        <v/>
      </c>
      <c r="F8" s="154"/>
      <c r="G8">
        <f>IF(H8="",0,(MAX($G$1:G7)+1))</f>
        <v>0</v>
      </c>
      <c r="H8" t="str">
        <f>IF('Services &amp; Meds'!V6&gt;0,CONCATENATE('Services &amp; Meds'!K6,": ",'Services &amp; Meds'!L6),"")</f>
        <v/>
      </c>
      <c r="I8" s="163" t="str">
        <f>IF('Services &amp; Meds'!V6&gt;0,'Services &amp; Meds'!R6,"")</f>
        <v/>
      </c>
      <c r="J8" t="str">
        <f>IF('Services &amp; Meds'!V6&gt;0,'Services &amp; Meds'!S6,"")</f>
        <v/>
      </c>
      <c r="K8" t="str">
        <f>IF('Services &amp; Meds'!V6&gt;0,'Services &amp; Meds'!V6,"")</f>
        <v/>
      </c>
      <c r="L8" s="160"/>
      <c r="M8" s="12"/>
      <c r="N8" s="143"/>
      <c r="O8" s="143"/>
    </row>
    <row r="9" spans="1:26" ht="25.2" customHeight="1" x14ac:dyDescent="0.3">
      <c r="A9" s="199" t="str">
        <f t="shared" ca="1" si="4"/>
        <v/>
      </c>
      <c r="B9" s="148" t="str">
        <f t="shared" ca="1" si="0"/>
        <v/>
      </c>
      <c r="C9" s="150" t="str">
        <f t="shared" ca="1" si="1"/>
        <v/>
      </c>
      <c r="D9" s="154" t="str">
        <f t="shared" ca="1" si="2"/>
        <v/>
      </c>
      <c r="E9" s="154" t="str">
        <f t="shared" ca="1" si="3"/>
        <v/>
      </c>
      <c r="F9" s="155"/>
      <c r="G9">
        <f>IF(H9="",0,(MAX($G$1:G8)+1))</f>
        <v>0</v>
      </c>
      <c r="H9" t="str">
        <f>IF('Services &amp; Meds'!V7&gt;0,CONCATENATE('Services &amp; Meds'!K7,": ",'Services &amp; Meds'!L7),"")</f>
        <v/>
      </c>
      <c r="I9" s="163" t="str">
        <f>IF('Services &amp; Meds'!V7&gt;0,'Services &amp; Meds'!R7,"")</f>
        <v/>
      </c>
      <c r="J9" t="str">
        <f>IF('Services &amp; Meds'!V7&gt;0,'Services &amp; Meds'!S7,"")</f>
        <v/>
      </c>
      <c r="K9" t="str">
        <f>IF('Services &amp; Meds'!V7&gt;0,'Services &amp; Meds'!V7,"")</f>
        <v/>
      </c>
      <c r="L9" s="160"/>
      <c r="M9" s="12"/>
      <c r="N9" s="143"/>
      <c r="O9" s="143"/>
      <c r="P9" s="143"/>
    </row>
    <row r="10" spans="1:26" ht="25.2" customHeight="1" x14ac:dyDescent="0.3">
      <c r="A10" s="199" t="str">
        <f t="shared" ca="1" si="4"/>
        <v/>
      </c>
      <c r="B10" s="148" t="str">
        <f t="shared" ca="1" si="0"/>
        <v/>
      </c>
      <c r="C10" s="150" t="str">
        <f t="shared" ca="1" si="1"/>
        <v/>
      </c>
      <c r="D10" s="154" t="str">
        <f t="shared" ca="1" si="2"/>
        <v/>
      </c>
      <c r="E10" s="154" t="str">
        <f t="shared" ca="1" si="3"/>
        <v/>
      </c>
      <c r="F10" s="155"/>
      <c r="G10">
        <f>IF(H10="",0,(MAX($G$1:G9)+1))</f>
        <v>0</v>
      </c>
      <c r="H10" t="str">
        <f>IF('Services &amp; Meds'!V8&gt;0,CONCATENATE('Services &amp; Meds'!K8,": ",'Services &amp; Meds'!L8),"")</f>
        <v/>
      </c>
      <c r="I10" s="163" t="str">
        <f>IF('Services &amp; Meds'!V8&gt;0,'Services &amp; Meds'!R8,"")</f>
        <v/>
      </c>
      <c r="J10" t="str">
        <f>IF('Services &amp; Meds'!V8&gt;0,'Services &amp; Meds'!S8,"")</f>
        <v/>
      </c>
      <c r="K10" t="str">
        <f>IF('Services &amp; Meds'!V8&gt;0,'Services &amp; Meds'!V8,"")</f>
        <v/>
      </c>
      <c r="L10" s="140"/>
      <c r="M10" s="12"/>
      <c r="N10" s="143"/>
      <c r="O10" s="143"/>
    </row>
    <row r="11" spans="1:26" ht="25.2" customHeight="1" x14ac:dyDescent="0.3">
      <c r="A11" s="199" t="str">
        <f t="shared" ca="1" si="4"/>
        <v/>
      </c>
      <c r="B11" s="148" t="str">
        <f t="shared" ca="1" si="0"/>
        <v/>
      </c>
      <c r="C11" s="150" t="str">
        <f t="shared" ca="1" si="1"/>
        <v/>
      </c>
      <c r="D11" s="154" t="str">
        <f t="shared" ca="1" si="2"/>
        <v/>
      </c>
      <c r="E11" s="154" t="str">
        <f t="shared" ca="1" si="3"/>
        <v/>
      </c>
      <c r="F11" s="155"/>
      <c r="G11">
        <f ca="1">IF(H11="",0,(MAX($G$1:G10)+1))</f>
        <v>0</v>
      </c>
      <c r="H11" t="str">
        <f ca="1">IF('Services &amp; Meds'!V9&gt;0,CONCATENATE('Services &amp; Meds'!K9,": ",'Services &amp; Meds'!L9),"")</f>
        <v/>
      </c>
      <c r="I11" s="163" t="str">
        <f ca="1">IF('Services &amp; Meds'!V9&gt;0,'Services &amp; Meds'!R9,"")</f>
        <v/>
      </c>
      <c r="J11" t="str">
        <f ca="1">IF('Services &amp; Meds'!V9&gt;0,'Services &amp; Meds'!S9,"")</f>
        <v/>
      </c>
      <c r="K11" t="str">
        <f ca="1">IF('Services &amp; Meds'!V9&gt;0,'Services &amp; Meds'!V9,"")</f>
        <v/>
      </c>
      <c r="L11" s="140"/>
    </row>
    <row r="12" spans="1:26" ht="25.2" customHeight="1" x14ac:dyDescent="0.3">
      <c r="A12" s="199" t="str">
        <f t="shared" ca="1" si="4"/>
        <v/>
      </c>
      <c r="B12" s="148" t="str">
        <f t="shared" ca="1" si="0"/>
        <v/>
      </c>
      <c r="C12" s="150" t="str">
        <f t="shared" ca="1" si="1"/>
        <v/>
      </c>
      <c r="D12" s="154" t="str">
        <f t="shared" ca="1" si="2"/>
        <v/>
      </c>
      <c r="E12" s="154" t="str">
        <f t="shared" ca="1" si="3"/>
        <v/>
      </c>
      <c r="F12" s="155"/>
      <c r="G12">
        <f ca="1">IF(H12="",0,(MAX($G$1:G11)+1))</f>
        <v>0</v>
      </c>
      <c r="H12" t="str">
        <f ca="1">IF('Services &amp; Meds'!V10&gt;0,CONCATENATE('Services &amp; Meds'!K10,": ",'Services &amp; Meds'!L10),"")</f>
        <v/>
      </c>
      <c r="I12" s="163" t="str">
        <f ca="1">IF('Services &amp; Meds'!V10&gt;0,'Services &amp; Meds'!R10,"")</f>
        <v/>
      </c>
      <c r="J12" t="str">
        <f ca="1">IF('Services &amp; Meds'!V10&gt;0,'Services &amp; Meds'!S10,"")</f>
        <v/>
      </c>
      <c r="K12" t="str">
        <f ca="1">IF('Services &amp; Meds'!V10&gt;0,'Services &amp; Meds'!V10,"")</f>
        <v/>
      </c>
      <c r="L12" s="140"/>
    </row>
    <row r="13" spans="1:26" ht="25.2" customHeight="1" x14ac:dyDescent="0.3">
      <c r="A13" s="199" t="str">
        <f t="shared" ca="1" si="4"/>
        <v/>
      </c>
      <c r="B13" s="148" t="str">
        <f t="shared" ca="1" si="0"/>
        <v/>
      </c>
      <c r="C13" s="150" t="str">
        <f t="shared" ca="1" si="1"/>
        <v/>
      </c>
      <c r="D13" s="154" t="str">
        <f t="shared" ca="1" si="2"/>
        <v/>
      </c>
      <c r="E13" s="154" t="str">
        <f t="shared" ca="1" si="3"/>
        <v/>
      </c>
      <c r="F13" s="155"/>
      <c r="G13">
        <f ca="1">IF(H13="",0,(MAX($G$1:G12)+1))</f>
        <v>0</v>
      </c>
      <c r="H13" t="str">
        <f ca="1">IF('Services &amp; Meds'!V11&gt;0,CONCATENATE('Services &amp; Meds'!K11,": ",'Services &amp; Meds'!L11),"")</f>
        <v/>
      </c>
      <c r="I13" s="163" t="str">
        <f ca="1">IF('Services &amp; Meds'!V11&gt;0,'Services &amp; Meds'!R11,"")</f>
        <v/>
      </c>
      <c r="J13" t="str">
        <f ca="1">IF('Services &amp; Meds'!V11&gt;0,'Services &amp; Meds'!S11,"")</f>
        <v/>
      </c>
      <c r="K13" t="str">
        <f ca="1">IF('Services &amp; Meds'!V11&gt;0,'Services &amp; Meds'!V11,"")</f>
        <v/>
      </c>
      <c r="L13" s="140"/>
    </row>
    <row r="14" spans="1:26" ht="25.2" customHeight="1" x14ac:dyDescent="0.3">
      <c r="A14" s="199" t="str">
        <f t="shared" ca="1" si="4"/>
        <v/>
      </c>
      <c r="B14" s="148" t="str">
        <f t="shared" ca="1" si="0"/>
        <v/>
      </c>
      <c r="C14" s="150" t="str">
        <f t="shared" ca="1" si="1"/>
        <v/>
      </c>
      <c r="D14" s="154" t="str">
        <f t="shared" ca="1" si="2"/>
        <v/>
      </c>
      <c r="E14" s="154" t="str">
        <f t="shared" ca="1" si="3"/>
        <v/>
      </c>
      <c r="F14" s="155"/>
      <c r="G14">
        <f ca="1">IF(H14="",0,(MAX($G$1:G13)+1))</f>
        <v>0</v>
      </c>
      <c r="H14" t="str">
        <f ca="1">IF('Services &amp; Meds'!V12&gt;0,CONCATENATE('Services &amp; Meds'!K12,": ",'Services &amp; Meds'!L12),"")</f>
        <v/>
      </c>
      <c r="I14" s="163" t="str">
        <f ca="1">IF('Services &amp; Meds'!V12&gt;0,'Services &amp; Meds'!R12,"")</f>
        <v/>
      </c>
      <c r="J14" t="str">
        <f ca="1">IF('Services &amp; Meds'!V12&gt;0,'Services &amp; Meds'!S12,"")</f>
        <v/>
      </c>
      <c r="K14" t="str">
        <f ca="1">IF('Services &amp; Meds'!V12&gt;0,'Services &amp; Meds'!V12,"")</f>
        <v/>
      </c>
      <c r="L14" s="140"/>
    </row>
    <row r="15" spans="1:26" ht="25.2" customHeight="1" x14ac:dyDescent="0.3">
      <c r="A15" s="199" t="str">
        <f t="shared" ca="1" si="4"/>
        <v/>
      </c>
      <c r="B15" s="148" t="str">
        <f t="shared" ca="1" si="0"/>
        <v/>
      </c>
      <c r="C15" s="150" t="str">
        <f t="shared" ca="1" si="1"/>
        <v/>
      </c>
      <c r="D15" s="154" t="str">
        <f t="shared" ca="1" si="2"/>
        <v/>
      </c>
      <c r="E15" s="154" t="str">
        <f t="shared" ca="1" si="3"/>
        <v/>
      </c>
      <c r="F15" s="155"/>
      <c r="G15">
        <f ca="1">IF(H15="",0,(MAX($G$1:G14)+1))</f>
        <v>0</v>
      </c>
      <c r="H15" t="str">
        <f ca="1">IF('Services &amp; Meds'!V13&gt;0,CONCATENATE('Services &amp; Meds'!K13,": ",'Services &amp; Meds'!L13),"")</f>
        <v/>
      </c>
      <c r="I15" s="163" t="str">
        <f ca="1">IF('Services &amp; Meds'!V13&gt;0,'Services &amp; Meds'!R13,"")</f>
        <v/>
      </c>
      <c r="J15" t="str">
        <f ca="1">IF('Services &amp; Meds'!V13&gt;0,'Services &amp; Meds'!S13,"")</f>
        <v/>
      </c>
      <c r="K15" t="str">
        <f ca="1">IF('Services &amp; Meds'!V13&gt;0,'Services &amp; Meds'!V13,"")</f>
        <v/>
      </c>
      <c r="L15" s="140"/>
      <c r="O15" s="143"/>
    </row>
    <row r="16" spans="1:26" ht="25.2" customHeight="1" x14ac:dyDescent="0.3">
      <c r="A16" s="199" t="str">
        <f t="shared" ca="1" si="4"/>
        <v/>
      </c>
      <c r="B16" s="148" t="str">
        <f t="shared" ca="1" si="0"/>
        <v/>
      </c>
      <c r="C16" s="150" t="str">
        <f t="shared" ca="1" si="1"/>
        <v/>
      </c>
      <c r="D16" s="154" t="str">
        <f t="shared" ca="1" si="2"/>
        <v/>
      </c>
      <c r="E16" s="154" t="str">
        <f t="shared" ca="1" si="3"/>
        <v/>
      </c>
      <c r="F16" s="155"/>
      <c r="G16">
        <f ca="1">IF(H16="",0,(MAX($G$1:G15)+1))</f>
        <v>0</v>
      </c>
      <c r="H16" t="str">
        <f ca="1">IF('Services &amp; Meds'!V14&gt;0,CONCATENATE('Services &amp; Meds'!K14,": ",'Services &amp; Meds'!L14),"")</f>
        <v/>
      </c>
      <c r="I16" s="163" t="str">
        <f ca="1">IF('Services &amp; Meds'!V14&gt;0,'Services &amp; Meds'!R14,"")</f>
        <v/>
      </c>
      <c r="J16" t="str">
        <f ca="1">IF('Services &amp; Meds'!V14&gt;0,'Services &amp; Meds'!S14,"")</f>
        <v/>
      </c>
      <c r="K16" t="str">
        <f ca="1">IF('Services &amp; Meds'!V14&gt;0,'Services &amp; Meds'!V14,"")</f>
        <v/>
      </c>
      <c r="L16" s="140"/>
    </row>
    <row r="17" spans="1:12" ht="25.2" customHeight="1" x14ac:dyDescent="0.3">
      <c r="A17" s="199" t="str">
        <f t="shared" ca="1" si="4"/>
        <v/>
      </c>
      <c r="B17" s="148" t="str">
        <f t="shared" ca="1" si="0"/>
        <v/>
      </c>
      <c r="C17" s="150" t="str">
        <f t="shared" ca="1" si="1"/>
        <v/>
      </c>
      <c r="D17" s="154" t="str">
        <f t="shared" ca="1" si="2"/>
        <v/>
      </c>
      <c r="E17" s="154" t="str">
        <f t="shared" ca="1" si="3"/>
        <v/>
      </c>
      <c r="F17" s="155"/>
      <c r="G17">
        <f ca="1">IF(H17="",0,(MAX($G$1:G16)+1))</f>
        <v>0</v>
      </c>
      <c r="H17" t="str">
        <f ca="1">IF('Services &amp; Meds'!V15&gt;0,CONCATENATE('Services &amp; Meds'!K15,": ",'Services &amp; Meds'!L15),"")</f>
        <v/>
      </c>
      <c r="I17" s="163" t="str">
        <f ca="1">IF('Services &amp; Meds'!V15&gt;0,'Services &amp; Meds'!R15,"")</f>
        <v/>
      </c>
      <c r="J17" t="str">
        <f ca="1">IF('Services &amp; Meds'!V15&gt;0,'Services &amp; Meds'!S15,"")</f>
        <v/>
      </c>
      <c r="K17" t="str">
        <f ca="1">IF('Services &amp; Meds'!V15&gt;0,'Services &amp; Meds'!V15,"")</f>
        <v/>
      </c>
      <c r="L17" s="140"/>
    </row>
    <row r="18" spans="1:12" ht="25.2" customHeight="1" x14ac:dyDescent="0.3">
      <c r="A18" s="199" t="str">
        <f t="shared" ca="1" si="4"/>
        <v/>
      </c>
      <c r="B18" s="148" t="str">
        <f t="shared" ca="1" si="0"/>
        <v/>
      </c>
      <c r="C18" s="150" t="str">
        <f t="shared" ca="1" si="1"/>
        <v/>
      </c>
      <c r="D18" s="154" t="str">
        <f t="shared" ca="1" si="2"/>
        <v/>
      </c>
      <c r="E18" s="154" t="str">
        <f t="shared" ca="1" si="3"/>
        <v/>
      </c>
      <c r="F18" s="155"/>
      <c r="G18">
        <f ca="1">IF(H18="",0,(MAX($G$1:G17)+1))</f>
        <v>0</v>
      </c>
      <c r="H18" t="str">
        <f ca="1">IF('Services &amp; Meds'!V16&gt;0,CONCATENATE('Services &amp; Meds'!K16,": ",'Services &amp; Meds'!L16),"")</f>
        <v/>
      </c>
      <c r="I18" s="163" t="str">
        <f ca="1">IF('Services &amp; Meds'!V16&gt;0,'Services &amp; Meds'!R16,"")</f>
        <v/>
      </c>
      <c r="J18" t="str">
        <f ca="1">IF('Services &amp; Meds'!V16&gt;0,'Services &amp; Meds'!S16,"")</f>
        <v/>
      </c>
      <c r="K18" t="str">
        <f ca="1">IF('Services &amp; Meds'!V16&gt;0,'Services &amp; Meds'!V16,"")</f>
        <v/>
      </c>
      <c r="L18" s="140"/>
    </row>
    <row r="19" spans="1:12" ht="25.2" customHeight="1" x14ac:dyDescent="0.3">
      <c r="A19" s="199" t="str">
        <f t="shared" ca="1" si="4"/>
        <v/>
      </c>
      <c r="B19" s="148" t="str">
        <f t="shared" ca="1" si="0"/>
        <v/>
      </c>
      <c r="C19" s="150" t="str">
        <f t="shared" ca="1" si="1"/>
        <v/>
      </c>
      <c r="D19" s="154" t="str">
        <f t="shared" ca="1" si="2"/>
        <v/>
      </c>
      <c r="E19" s="154" t="str">
        <f t="shared" ca="1" si="3"/>
        <v/>
      </c>
      <c r="F19" s="155"/>
      <c r="G19">
        <f ca="1">IF(H19="",0,(MAX($G$1:G18)+1))</f>
        <v>0</v>
      </c>
      <c r="H19" t="str">
        <f ca="1">IF('Services &amp; Meds'!V17&gt;0,CONCATENATE('Services &amp; Meds'!K17,": ",'Services &amp; Meds'!L17),"")</f>
        <v/>
      </c>
      <c r="I19" s="163" t="str">
        <f ca="1">IF('Services &amp; Meds'!V17&gt;0,'Services &amp; Meds'!R17,"")</f>
        <v/>
      </c>
      <c r="J19" t="str">
        <f ca="1">IF('Services &amp; Meds'!V17&gt;0,'Services &amp; Meds'!S17,"")</f>
        <v/>
      </c>
      <c r="K19" t="str">
        <f ca="1">IF('Services &amp; Meds'!V17&gt;0,'Services &amp; Meds'!V17,"")</f>
        <v/>
      </c>
      <c r="L19" s="140"/>
    </row>
    <row r="20" spans="1:12" ht="25.2" customHeight="1" x14ac:dyDescent="0.3">
      <c r="A20" s="199" t="str">
        <f t="shared" ca="1" si="4"/>
        <v/>
      </c>
      <c r="B20" s="148" t="str">
        <f t="shared" ca="1" si="0"/>
        <v/>
      </c>
      <c r="C20" s="150" t="str">
        <f t="shared" ca="1" si="1"/>
        <v/>
      </c>
      <c r="D20" s="154" t="str">
        <f t="shared" ca="1" si="2"/>
        <v/>
      </c>
      <c r="E20" s="154" t="str">
        <f t="shared" ca="1" si="3"/>
        <v/>
      </c>
      <c r="F20" s="155"/>
      <c r="G20">
        <f ca="1">IF(H20="",0,(MAX($G$1:G19)+1))</f>
        <v>0</v>
      </c>
      <c r="H20" t="str">
        <f ca="1">IF('Services &amp; Meds'!V18&gt;0,CONCATENATE('Services &amp; Meds'!K18,": ",'Services &amp; Meds'!L18),"")</f>
        <v/>
      </c>
      <c r="I20" s="163" t="str">
        <f ca="1">IF('Services &amp; Meds'!V18&gt;0,'Services &amp; Meds'!R18,"")</f>
        <v/>
      </c>
      <c r="J20" t="str">
        <f ca="1">IF('Services &amp; Meds'!V18&gt;0,'Services &amp; Meds'!S18,"")</f>
        <v/>
      </c>
      <c r="K20" t="str">
        <f ca="1">IF('Services &amp; Meds'!V18&gt;0,'Services &amp; Meds'!V18,"")</f>
        <v/>
      </c>
      <c r="L20" s="140"/>
    </row>
    <row r="21" spans="1:12" ht="25.2" customHeight="1" x14ac:dyDescent="0.3">
      <c r="A21" s="199" t="str">
        <f t="shared" ca="1" si="4"/>
        <v/>
      </c>
      <c r="B21" s="148" t="str">
        <f t="shared" ca="1" si="0"/>
        <v/>
      </c>
      <c r="C21" s="150" t="str">
        <f t="shared" ca="1" si="1"/>
        <v/>
      </c>
      <c r="D21" s="154" t="str">
        <f t="shared" ca="1" si="2"/>
        <v/>
      </c>
      <c r="E21" s="154" t="str">
        <f t="shared" ca="1" si="3"/>
        <v/>
      </c>
      <c r="F21" s="155"/>
      <c r="G21">
        <f ca="1">IF(H21="",0,(MAX($G$1:G20)+1))</f>
        <v>0</v>
      </c>
      <c r="H21" t="str">
        <f ca="1">IF('Services &amp; Meds'!V19&gt;0,CONCATENATE('Services &amp; Meds'!K19,": ",'Services &amp; Meds'!L19),"")</f>
        <v/>
      </c>
      <c r="I21" s="163" t="str">
        <f ca="1">IF('Services &amp; Meds'!V19&gt;0,'Services &amp; Meds'!R19,"")</f>
        <v/>
      </c>
      <c r="J21" t="str">
        <f ca="1">IF('Services &amp; Meds'!V19&gt;0,'Services &amp; Meds'!S19,"")</f>
        <v/>
      </c>
      <c r="K21" t="str">
        <f ca="1">IF('Services &amp; Meds'!V19&gt;0,'Services &amp; Meds'!V19,"")</f>
        <v/>
      </c>
      <c r="L21" s="140"/>
    </row>
    <row r="22" spans="1:12" ht="25.2" customHeight="1" x14ac:dyDescent="0.3">
      <c r="A22" s="199" t="str">
        <f t="shared" ca="1" si="4"/>
        <v/>
      </c>
      <c r="B22" s="148" t="str">
        <f t="shared" ca="1" si="0"/>
        <v/>
      </c>
      <c r="C22" s="150" t="str">
        <f t="shared" ca="1" si="1"/>
        <v/>
      </c>
      <c r="D22" s="154" t="str">
        <f t="shared" ca="1" si="2"/>
        <v/>
      </c>
      <c r="E22" s="154" t="str">
        <f t="shared" ca="1" si="3"/>
        <v/>
      </c>
      <c r="F22" s="155"/>
      <c r="G22">
        <f ca="1">IF(H22="",0,(MAX($G$1:G21)+1))</f>
        <v>0</v>
      </c>
      <c r="H22" t="str">
        <f ca="1">IF('Services &amp; Meds'!V20&gt;0,CONCATENATE('Services &amp; Meds'!K20,": ",'Services &amp; Meds'!L20),"")</f>
        <v/>
      </c>
      <c r="I22" s="163" t="str">
        <f ca="1">IF('Services &amp; Meds'!V20&gt;0,'Services &amp; Meds'!R20,"")</f>
        <v/>
      </c>
      <c r="J22" t="str">
        <f ca="1">IF('Services &amp; Meds'!V20&gt;0,'Services &amp; Meds'!S20,"")</f>
        <v/>
      </c>
      <c r="K22" t="str">
        <f ca="1">IF('Services &amp; Meds'!V20&gt;0,'Services &amp; Meds'!V20,"")</f>
        <v/>
      </c>
      <c r="L22" s="140"/>
    </row>
    <row r="23" spans="1:12" ht="25.2" customHeight="1" x14ac:dyDescent="0.3">
      <c r="A23" s="199" t="str">
        <f t="shared" ca="1" si="4"/>
        <v/>
      </c>
      <c r="B23" s="148" t="str">
        <f t="shared" ca="1" si="0"/>
        <v/>
      </c>
      <c r="C23" s="150" t="str">
        <f t="shared" ca="1" si="1"/>
        <v/>
      </c>
      <c r="D23" s="154" t="str">
        <f t="shared" ca="1" si="2"/>
        <v/>
      </c>
      <c r="E23" s="154" t="str">
        <f t="shared" ca="1" si="3"/>
        <v/>
      </c>
      <c r="F23" s="155"/>
      <c r="G23">
        <f ca="1">IF(H23="",0,(MAX($G$1:G22)+1))</f>
        <v>0</v>
      </c>
      <c r="H23" t="str">
        <f ca="1">IF('Services &amp; Meds'!V21&gt;0,CONCATENATE('Services &amp; Meds'!K21,": ",'Services &amp; Meds'!L21),"")</f>
        <v/>
      </c>
      <c r="I23" s="163" t="str">
        <f ca="1">IF('Services &amp; Meds'!V21&gt;0,'Services &amp; Meds'!R21,"")</f>
        <v/>
      </c>
      <c r="J23" t="str">
        <f ca="1">IF('Services &amp; Meds'!V21&gt;0,'Services &amp; Meds'!S21,"")</f>
        <v/>
      </c>
      <c r="K23" t="str">
        <f ca="1">IF('Services &amp; Meds'!V21&gt;0,'Services &amp; Meds'!V21,"")</f>
        <v/>
      </c>
      <c r="L23" s="140"/>
    </row>
    <row r="24" spans="1:12" ht="25.2" customHeight="1" x14ac:dyDescent="0.3">
      <c r="A24" s="199" t="str">
        <f t="shared" ca="1" si="4"/>
        <v/>
      </c>
      <c r="B24" s="148" t="str">
        <f t="shared" ca="1" si="0"/>
        <v/>
      </c>
      <c r="C24" s="150" t="str">
        <f t="shared" ca="1" si="1"/>
        <v/>
      </c>
      <c r="D24" s="154" t="str">
        <f t="shared" ca="1" si="2"/>
        <v/>
      </c>
      <c r="E24" s="154" t="str">
        <f t="shared" ca="1" si="3"/>
        <v/>
      </c>
      <c r="F24" s="155"/>
      <c r="G24">
        <f ca="1">IF(H24="",0,(MAX($G$1:G23)+1))</f>
        <v>0</v>
      </c>
      <c r="H24" t="str">
        <f ca="1">IF('Services &amp; Meds'!V22&gt;0,CONCATENATE('Services &amp; Meds'!K22,": ",'Services &amp; Meds'!L22),"")</f>
        <v/>
      </c>
      <c r="I24" s="163" t="str">
        <f ca="1">IF('Services &amp; Meds'!V22&gt;0,'Services &amp; Meds'!R22,"")</f>
        <v/>
      </c>
      <c r="J24" t="str">
        <f ca="1">IF('Services &amp; Meds'!V22&gt;0,'Services &amp; Meds'!S22,"")</f>
        <v/>
      </c>
      <c r="K24" t="str">
        <f ca="1">IF('Services &amp; Meds'!V22&gt;0,'Services &amp; Meds'!V22,"")</f>
        <v/>
      </c>
      <c r="L24" s="140"/>
    </row>
    <row r="25" spans="1:12" ht="25.2" customHeight="1" x14ac:dyDescent="0.3">
      <c r="A25" s="199" t="str">
        <f t="shared" ca="1" si="4"/>
        <v/>
      </c>
      <c r="B25" s="148" t="str">
        <f t="shared" ca="1" si="0"/>
        <v/>
      </c>
      <c r="C25" s="150" t="str">
        <f t="shared" ca="1" si="1"/>
        <v/>
      </c>
      <c r="D25" s="154" t="str">
        <f t="shared" ca="1" si="2"/>
        <v/>
      </c>
      <c r="E25" s="154" t="str">
        <f t="shared" ca="1" si="3"/>
        <v/>
      </c>
      <c r="F25" s="155"/>
      <c r="G25">
        <f ca="1">IF(H25="",0,(MAX($G$1:G24)+1))</f>
        <v>0</v>
      </c>
      <c r="H25" t="str">
        <f ca="1">IF('Services &amp; Meds'!V23&gt;0,CONCATENATE('Services &amp; Meds'!K23,": ",'Services &amp; Meds'!L23),"")</f>
        <v/>
      </c>
      <c r="I25" s="163" t="str">
        <f ca="1">IF('Services &amp; Meds'!V23&gt;0,'Services &amp; Meds'!R23,"")</f>
        <v/>
      </c>
      <c r="J25" t="str">
        <f ca="1">IF('Services &amp; Meds'!V23&gt;0,'Services &amp; Meds'!S23,"")</f>
        <v/>
      </c>
      <c r="K25" t="str">
        <f ca="1">IF('Services &amp; Meds'!V23&gt;0,'Services &amp; Meds'!V23,"")</f>
        <v/>
      </c>
      <c r="L25" s="140"/>
    </row>
    <row r="26" spans="1:12" ht="25.2" customHeight="1" x14ac:dyDescent="0.3">
      <c r="A26" s="199" t="str">
        <f t="shared" ca="1" si="4"/>
        <v/>
      </c>
      <c r="B26" s="148" t="str">
        <f t="shared" ca="1" si="0"/>
        <v/>
      </c>
      <c r="C26" s="150" t="str">
        <f t="shared" ca="1" si="1"/>
        <v/>
      </c>
      <c r="D26" s="154" t="str">
        <f t="shared" ca="1" si="2"/>
        <v/>
      </c>
      <c r="E26" s="154" t="str">
        <f t="shared" ca="1" si="3"/>
        <v/>
      </c>
      <c r="F26" s="155"/>
      <c r="G26">
        <f ca="1">IF(H26="",0,(MAX($G$1:G25)+1))</f>
        <v>0</v>
      </c>
      <c r="H26" t="str">
        <f ca="1">IF('Services &amp; Meds'!V24&gt;0,CONCATENATE('Services &amp; Meds'!K24,": ",'Services &amp; Meds'!L24),"")</f>
        <v/>
      </c>
      <c r="I26" s="163" t="str">
        <f ca="1">IF('Services &amp; Meds'!V24&gt;0,'Services &amp; Meds'!R24,"")</f>
        <v/>
      </c>
      <c r="J26" t="str">
        <f ca="1">IF('Services &amp; Meds'!V24&gt;0,'Services &amp; Meds'!S24,"")</f>
        <v/>
      </c>
      <c r="K26" t="str">
        <f ca="1">IF('Services &amp; Meds'!V24&gt;0,'Services &amp; Meds'!V24,"")</f>
        <v/>
      </c>
      <c r="L26" s="140"/>
    </row>
    <row r="27" spans="1:12" ht="25.2" customHeight="1" x14ac:dyDescent="0.3">
      <c r="A27" s="199" t="str">
        <f t="shared" ca="1" si="4"/>
        <v/>
      </c>
      <c r="B27" s="148" t="str">
        <f t="shared" ca="1" si="0"/>
        <v/>
      </c>
      <c r="C27" s="150" t="str">
        <f t="shared" ca="1" si="1"/>
        <v/>
      </c>
      <c r="D27" s="154" t="str">
        <f t="shared" ca="1" si="2"/>
        <v/>
      </c>
      <c r="E27" s="154" t="str">
        <f t="shared" ca="1" si="3"/>
        <v/>
      </c>
      <c r="F27" s="155"/>
      <c r="G27">
        <f ca="1">IF(H27="",0,(MAX($G$1:G26)+1))</f>
        <v>0</v>
      </c>
      <c r="H27" t="str">
        <f ca="1">IF('Services &amp; Meds'!V25&gt;0,CONCATENATE('Services &amp; Meds'!K25,": ",'Services &amp; Meds'!L25),"")</f>
        <v/>
      </c>
      <c r="I27" s="163" t="str">
        <f ca="1">IF('Services &amp; Meds'!V25&gt;0,'Services &amp; Meds'!R25,"")</f>
        <v/>
      </c>
      <c r="J27" t="str">
        <f ca="1">IF('Services &amp; Meds'!V25&gt;0,'Services &amp; Meds'!S25,"")</f>
        <v/>
      </c>
      <c r="K27" t="str">
        <f ca="1">IF('Services &amp; Meds'!V25&gt;0,'Services &amp; Meds'!V25,"")</f>
        <v/>
      </c>
      <c r="L27" s="140"/>
    </row>
    <row r="28" spans="1:12" ht="25.2" customHeight="1" x14ac:dyDescent="0.3">
      <c r="A28" s="199" t="str">
        <f t="shared" ca="1" si="4"/>
        <v/>
      </c>
      <c r="B28" s="148" t="str">
        <f t="shared" ca="1" si="0"/>
        <v/>
      </c>
      <c r="C28" s="150" t="str">
        <f t="shared" ca="1" si="1"/>
        <v/>
      </c>
      <c r="D28" s="154" t="str">
        <f t="shared" ca="1" si="2"/>
        <v/>
      </c>
      <c r="E28" s="154" t="str">
        <f t="shared" ca="1" si="3"/>
        <v/>
      </c>
      <c r="F28" s="155"/>
      <c r="G28">
        <f>IF(H28="",0,(MAX($G$1:G27)+1))</f>
        <v>0</v>
      </c>
      <c r="H28" t="str">
        <f>IF('Services &amp; Meds'!V26&gt;0,CONCATENATE('Services &amp; Meds'!K26,": ",'Services &amp; Meds'!L26),"")</f>
        <v/>
      </c>
      <c r="I28" s="163" t="str">
        <f>IF('Services &amp; Meds'!V26&gt;0,'Services &amp; Meds'!R26,"")</f>
        <v/>
      </c>
      <c r="J28" t="str">
        <f>IF('Services &amp; Meds'!V26&gt;0,'Services &amp; Meds'!S26,"")</f>
        <v/>
      </c>
      <c r="K28" t="str">
        <f>IF('Services &amp; Meds'!V26&gt;0,'Services &amp; Meds'!V26,"")</f>
        <v/>
      </c>
      <c r="L28" s="140"/>
    </row>
    <row r="29" spans="1:12" ht="25.2" customHeight="1" x14ac:dyDescent="0.3">
      <c r="A29" s="199" t="str">
        <f t="shared" ca="1" si="4"/>
        <v/>
      </c>
      <c r="B29" s="148" t="str">
        <f t="shared" ca="1" si="0"/>
        <v/>
      </c>
      <c r="C29" s="150" t="str">
        <f t="shared" ca="1" si="1"/>
        <v/>
      </c>
      <c r="D29" s="154" t="str">
        <f t="shared" ca="1" si="2"/>
        <v/>
      </c>
      <c r="E29" s="154" t="str">
        <f t="shared" ca="1" si="3"/>
        <v/>
      </c>
      <c r="F29" s="155"/>
      <c r="G29">
        <f>IF(H29="",0,(MAX($G$1:G28)+1))</f>
        <v>0</v>
      </c>
      <c r="H29" t="str">
        <f>IF('Services &amp; Meds'!V27&gt;0,CONCATENATE('Services &amp; Meds'!K27,": ",'Services &amp; Meds'!L27),"")</f>
        <v/>
      </c>
      <c r="I29" s="163" t="str">
        <f>IF('Services &amp; Meds'!V27&gt;0,'Services &amp; Meds'!R27,"")</f>
        <v/>
      </c>
      <c r="J29" t="str">
        <f>IF('Services &amp; Meds'!V27&gt;0,'Services &amp; Meds'!S27,"")</f>
        <v/>
      </c>
      <c r="K29" t="str">
        <f>IF('Services &amp; Meds'!V27&gt;0,'Services &amp; Meds'!V27,"")</f>
        <v/>
      </c>
      <c r="L29" s="140"/>
    </row>
    <row r="30" spans="1:12" ht="25.2" customHeight="1" x14ac:dyDescent="0.3">
      <c r="A30" s="199" t="str">
        <f t="shared" ca="1" si="4"/>
        <v/>
      </c>
      <c r="B30" s="148" t="str">
        <f t="shared" ca="1" si="0"/>
        <v/>
      </c>
      <c r="C30" s="150" t="str">
        <f t="shared" ca="1" si="1"/>
        <v/>
      </c>
      <c r="D30" s="154" t="str">
        <f t="shared" ca="1" si="2"/>
        <v/>
      </c>
      <c r="E30" s="154" t="str">
        <f t="shared" ca="1" si="3"/>
        <v/>
      </c>
      <c r="F30" s="155"/>
      <c r="G30">
        <f>IF(H30="",0,(MAX($G$1:G29)+1))</f>
        <v>0</v>
      </c>
      <c r="H30" t="str">
        <f>IF('Services &amp; Meds'!V28&gt;0,CONCATENATE('Services &amp; Meds'!K28,": ",'Services &amp; Meds'!L28),"")</f>
        <v/>
      </c>
      <c r="I30" s="163" t="str">
        <f>IF('Services &amp; Meds'!V28&gt;0,'Services &amp; Meds'!R28,"")</f>
        <v/>
      </c>
      <c r="J30" t="str">
        <f>IF('Services &amp; Meds'!V28&gt;0,'Services &amp; Meds'!S28,"")</f>
        <v/>
      </c>
      <c r="K30" t="str">
        <f>IF('Services &amp; Meds'!V28&gt;0,'Services &amp; Meds'!V28,"")</f>
        <v/>
      </c>
      <c r="L30" s="140"/>
    </row>
    <row r="31" spans="1:12" ht="25.2" customHeight="1" x14ac:dyDescent="0.3">
      <c r="A31" s="199" t="str">
        <f t="shared" ca="1" si="4"/>
        <v/>
      </c>
      <c r="B31" s="148" t="str">
        <f t="shared" ca="1" si="0"/>
        <v/>
      </c>
      <c r="C31" s="150" t="str">
        <f t="shared" ca="1" si="1"/>
        <v/>
      </c>
      <c r="D31" s="154" t="str">
        <f t="shared" ca="1" si="2"/>
        <v/>
      </c>
      <c r="E31" s="154" t="str">
        <f t="shared" ca="1" si="3"/>
        <v/>
      </c>
      <c r="F31" s="155"/>
      <c r="G31">
        <f>IF(H31="",0,(MAX($G$1:G30)+1))</f>
        <v>0</v>
      </c>
      <c r="H31" t="str">
        <f>IF('Services &amp; Meds'!V29&gt;0,CONCATENATE('Services &amp; Meds'!K29,": ",'Services &amp; Meds'!L29),"")</f>
        <v/>
      </c>
      <c r="I31" s="163" t="str">
        <f>IF('Services &amp; Meds'!V29&gt;0,'Services &amp; Meds'!R29,"")</f>
        <v/>
      </c>
      <c r="J31" t="str">
        <f>IF('Services &amp; Meds'!V29&gt;0,'Services &amp; Meds'!S29,"")</f>
        <v/>
      </c>
      <c r="K31" t="str">
        <f>IF('Services &amp; Meds'!V29&gt;0,'Services &amp; Meds'!V29,"")</f>
        <v/>
      </c>
      <c r="L31" s="140"/>
    </row>
    <row r="32" spans="1:12" ht="25.2" customHeight="1" x14ac:dyDescent="0.3">
      <c r="A32" s="199" t="str">
        <f t="shared" ca="1" si="4"/>
        <v/>
      </c>
      <c r="B32" s="148" t="str">
        <f t="shared" ca="1" si="0"/>
        <v/>
      </c>
      <c r="C32" s="150" t="str">
        <f t="shared" ca="1" si="1"/>
        <v/>
      </c>
      <c r="D32" s="154" t="str">
        <f t="shared" ca="1" si="2"/>
        <v/>
      </c>
      <c r="E32" s="154" t="str">
        <f t="shared" ca="1" si="3"/>
        <v/>
      </c>
      <c r="F32" s="155"/>
      <c r="G32">
        <f>IF(H32="",0,(MAX($G$1:G31)+1))</f>
        <v>0</v>
      </c>
      <c r="H32" t="str">
        <f>IF('Services &amp; Meds'!V30&gt;0,CONCATENATE('Services &amp; Meds'!K30,": ",'Services &amp; Meds'!L30),"")</f>
        <v/>
      </c>
      <c r="I32" s="163" t="str">
        <f>IF('Services &amp; Meds'!V30&gt;0,'Services &amp; Meds'!R30,"")</f>
        <v/>
      </c>
      <c r="J32" t="str">
        <f>IF('Services &amp; Meds'!V30&gt;0,'Services &amp; Meds'!S30,"")</f>
        <v/>
      </c>
      <c r="K32" t="str">
        <f>IF('Services &amp; Meds'!V30&gt;0,'Services &amp; Meds'!V30,"")</f>
        <v/>
      </c>
      <c r="L32" s="140"/>
    </row>
    <row r="33" spans="1:12" ht="25.2" customHeight="1" x14ac:dyDescent="0.3">
      <c r="A33" s="199" t="str">
        <f t="shared" ca="1" si="4"/>
        <v/>
      </c>
      <c r="B33" s="148" t="str">
        <f t="shared" ca="1" si="0"/>
        <v/>
      </c>
      <c r="C33" s="150" t="str">
        <f t="shared" ca="1" si="1"/>
        <v/>
      </c>
      <c r="D33" s="154" t="str">
        <f t="shared" ca="1" si="2"/>
        <v/>
      </c>
      <c r="E33" s="154" t="str">
        <f t="shared" ca="1" si="3"/>
        <v/>
      </c>
      <c r="F33" s="155"/>
      <c r="G33">
        <f>IF(H33="",0,(MAX($G$1:G32)+1))</f>
        <v>0</v>
      </c>
      <c r="H33" t="str">
        <f>IF('Services &amp; Meds'!V31&gt;0,CONCATENATE('Services &amp; Meds'!K31,": ",'Services &amp; Meds'!L31),"")</f>
        <v/>
      </c>
      <c r="I33" s="163" t="str">
        <f>IF('Services &amp; Meds'!V31&gt;0,'Services &amp; Meds'!R31,"")</f>
        <v/>
      </c>
      <c r="J33" t="str">
        <f>IF('Services &amp; Meds'!V31&gt;0,'Services &amp; Meds'!S31,"")</f>
        <v/>
      </c>
      <c r="K33" t="str">
        <f>IF('Services &amp; Meds'!V31&gt;0,'Services &amp; Meds'!V31,"")</f>
        <v/>
      </c>
      <c r="L33" s="140"/>
    </row>
    <row r="34" spans="1:12" ht="25.2" customHeight="1" x14ac:dyDescent="0.3">
      <c r="A34" s="199" t="str">
        <f t="shared" ca="1" si="4"/>
        <v/>
      </c>
      <c r="B34" s="148" t="str">
        <f t="shared" ca="1" si="0"/>
        <v/>
      </c>
      <c r="C34" s="150" t="str">
        <f t="shared" ca="1" si="1"/>
        <v/>
      </c>
      <c r="D34" s="154" t="str">
        <f t="shared" ca="1" si="2"/>
        <v/>
      </c>
      <c r="E34" s="154" t="str">
        <f t="shared" ca="1" si="3"/>
        <v/>
      </c>
      <c r="F34" s="155"/>
      <c r="G34">
        <f>IF(H34="",0,(MAX($G$1:G33)+1))</f>
        <v>0</v>
      </c>
      <c r="H34" t="str">
        <f>IF('Services &amp; Meds'!V32&gt;0,CONCATENATE('Services &amp; Meds'!K32,": ",'Services &amp; Meds'!L32),"")</f>
        <v/>
      </c>
      <c r="I34" s="163" t="str">
        <f>IF('Services &amp; Meds'!V32&gt;0,'Services &amp; Meds'!R32,"")</f>
        <v/>
      </c>
      <c r="J34" t="str">
        <f>IF('Services &amp; Meds'!V32&gt;0,'Services &amp; Meds'!S32,"")</f>
        <v/>
      </c>
      <c r="K34" t="str">
        <f>IF('Services &amp; Meds'!V32&gt;0,'Services &amp; Meds'!V32,"")</f>
        <v/>
      </c>
      <c r="L34" s="10"/>
    </row>
    <row r="35" spans="1:12" ht="25.2" customHeight="1" x14ac:dyDescent="0.3">
      <c r="A35" s="199" t="str">
        <f t="shared" ca="1" si="4"/>
        <v/>
      </c>
      <c r="B35" s="148" t="str">
        <f t="shared" ca="1" si="0"/>
        <v/>
      </c>
      <c r="C35" s="150" t="str">
        <f t="shared" ca="1" si="1"/>
        <v/>
      </c>
      <c r="D35" s="154" t="str">
        <f t="shared" ca="1" si="2"/>
        <v/>
      </c>
      <c r="E35" s="154" t="str">
        <f t="shared" ca="1" si="3"/>
        <v/>
      </c>
      <c r="F35" s="155"/>
      <c r="G35">
        <f>IF(H35="",0,(MAX($G$1:G34)+1))</f>
        <v>0</v>
      </c>
      <c r="H35" t="str">
        <f>IF('Services &amp; Meds'!V33&gt;0,CONCATENATE('Services &amp; Meds'!K33,'Services &amp; Meds'!L33),"")</f>
        <v/>
      </c>
      <c r="I35" s="137" t="str">
        <f>IF('Services &amp; Meds'!V33&gt;0,'Services &amp; Meds'!R33,"")</f>
        <v/>
      </c>
      <c r="J35" t="str">
        <f>IF('Services &amp; Meds'!V33&gt;0,'Services &amp; Meds'!S33,"")</f>
        <v/>
      </c>
      <c r="K35" t="str">
        <f>IF('Services &amp; Meds'!V33&gt;0,'Services &amp; Meds'!V33,"")</f>
        <v/>
      </c>
      <c r="L35" s="140"/>
    </row>
    <row r="36" spans="1:12" ht="25.2" customHeight="1" x14ac:dyDescent="0.3">
      <c r="A36" s="199" t="str">
        <f t="shared" ca="1" si="4"/>
        <v/>
      </c>
      <c r="B36" s="148" t="str">
        <f t="shared" ca="1" si="0"/>
        <v/>
      </c>
      <c r="C36" s="150" t="str">
        <f t="shared" ca="1" si="1"/>
        <v/>
      </c>
      <c r="D36" s="154" t="str">
        <f t="shared" ca="1" si="2"/>
        <v/>
      </c>
      <c r="E36" s="154" t="str">
        <f t="shared" ca="1" si="3"/>
        <v/>
      </c>
      <c r="F36" s="155"/>
      <c r="G36">
        <f>IF(H36="",0,(MAX($G$1:G35)+1))</f>
        <v>0</v>
      </c>
      <c r="H36" t="str">
        <f>IF('Services &amp; Meds'!V34&gt;0,CONCATENATE('Services &amp; Meds'!K34,": ",'Services &amp; Meds'!L34),"")</f>
        <v/>
      </c>
      <c r="I36" s="137" t="str">
        <f>IF('Services &amp; Meds'!V34&gt;0,'Services &amp; Meds'!R34,"")</f>
        <v/>
      </c>
      <c r="J36" t="str">
        <f>IF('Services &amp; Meds'!V34&gt;0,'Services &amp; Meds'!S34,"")</f>
        <v/>
      </c>
      <c r="K36" t="str">
        <f>IF('Services &amp; Meds'!V34&gt;0,'Services &amp; Meds'!V34,"")</f>
        <v/>
      </c>
      <c r="L36" s="140"/>
    </row>
    <row r="37" spans="1:12" ht="25.2" customHeight="1" x14ac:dyDescent="0.3">
      <c r="A37" s="199" t="str">
        <f t="shared" ca="1" si="4"/>
        <v/>
      </c>
      <c r="B37" s="148" t="str">
        <f t="shared" ca="1" si="0"/>
        <v/>
      </c>
      <c r="C37" s="150" t="str">
        <f t="shared" ca="1" si="1"/>
        <v/>
      </c>
      <c r="D37" s="154" t="str">
        <f t="shared" ca="1" si="2"/>
        <v/>
      </c>
      <c r="E37" s="154" t="str">
        <f t="shared" ca="1" si="3"/>
        <v/>
      </c>
      <c r="F37" s="155"/>
      <c r="G37">
        <f>IF(H37="",0,(MAX($G$1:G36)+1))</f>
        <v>0</v>
      </c>
      <c r="H37" t="str">
        <f>IF('Services &amp; Meds'!V35&gt;0,CONCATENATE('Services &amp; Meds'!K35,": ",'Services &amp; Meds'!L35),"")</f>
        <v/>
      </c>
      <c r="I37" s="137" t="str">
        <f>IF('Services &amp; Meds'!V35&gt;0,'Services &amp; Meds'!R35,"")</f>
        <v/>
      </c>
      <c r="J37" t="str">
        <f>IF('Services &amp; Meds'!V35&gt;0,'Services &amp; Meds'!S35,"")</f>
        <v/>
      </c>
      <c r="K37" t="str">
        <f>IF('Services &amp; Meds'!V35&gt;0,'Services &amp; Meds'!V35,"")</f>
        <v/>
      </c>
      <c r="L37" s="140"/>
    </row>
    <row r="38" spans="1:12" ht="25.2" customHeight="1" x14ac:dyDescent="0.3">
      <c r="A38" s="199" t="str">
        <f t="shared" ca="1" si="4"/>
        <v/>
      </c>
      <c r="B38" s="148" t="str">
        <f t="shared" ca="1" si="0"/>
        <v/>
      </c>
      <c r="C38" s="150" t="str">
        <f t="shared" ca="1" si="1"/>
        <v/>
      </c>
      <c r="D38" s="154" t="str">
        <f t="shared" ca="1" si="2"/>
        <v/>
      </c>
      <c r="E38" s="154" t="str">
        <f t="shared" ca="1" si="3"/>
        <v/>
      </c>
      <c r="F38" s="155"/>
      <c r="G38">
        <f>IF(H38="",0,(MAX($G$1:G37)+1))</f>
        <v>0</v>
      </c>
      <c r="H38" t="str">
        <f>IF('Services &amp; Meds'!V36&gt;0,CONCATENATE('Services &amp; Meds'!K36,": ",'Services &amp; Meds'!L36),"")</f>
        <v/>
      </c>
      <c r="I38" s="137" t="str">
        <f>IF('Services &amp; Meds'!V36&gt;0,'Services &amp; Meds'!R36,"")</f>
        <v/>
      </c>
      <c r="J38" t="str">
        <f>IF('Services &amp; Meds'!V36&gt;0,'Services &amp; Meds'!S36,"")</f>
        <v/>
      </c>
      <c r="K38" t="str">
        <f>IF('Services &amp; Meds'!V36&gt;0,'Services &amp; Meds'!V36,"")</f>
        <v/>
      </c>
      <c r="L38" s="140"/>
    </row>
    <row r="39" spans="1:12" ht="25.2" customHeight="1" x14ac:dyDescent="0.3">
      <c r="A39" s="199" t="str">
        <f t="shared" ca="1" si="4"/>
        <v/>
      </c>
      <c r="B39" s="148" t="str">
        <f t="shared" ca="1" si="0"/>
        <v/>
      </c>
      <c r="C39" s="150" t="str">
        <f t="shared" ca="1" si="1"/>
        <v/>
      </c>
      <c r="D39" s="154" t="str">
        <f t="shared" ca="1" si="2"/>
        <v/>
      </c>
      <c r="E39" s="154" t="str">
        <f t="shared" ca="1" si="3"/>
        <v/>
      </c>
      <c r="F39" s="155"/>
      <c r="G39">
        <f>IF(H39="",0,(MAX($G$1:G38)+1))</f>
        <v>0</v>
      </c>
      <c r="H39" t="str">
        <f>IF('Services &amp; Meds'!V37&gt;0,CONCATENATE('Services &amp; Meds'!K37,": ",'Services &amp; Meds'!L37),"")</f>
        <v/>
      </c>
      <c r="I39" s="137" t="str">
        <f>IF('Services &amp; Meds'!V37&gt;0,'Services &amp; Meds'!R37,"")</f>
        <v/>
      </c>
      <c r="J39" t="str">
        <f>IF('Services &amp; Meds'!V37&gt;0,'Services &amp; Meds'!S37,"")</f>
        <v/>
      </c>
      <c r="K39" t="str">
        <f>IF('Services &amp; Meds'!V37&gt;0,'Services &amp; Meds'!V37,"")</f>
        <v/>
      </c>
      <c r="L39" s="140"/>
    </row>
    <row r="40" spans="1:12" ht="25.2" customHeight="1" x14ac:dyDescent="0.3">
      <c r="A40" s="199" t="str">
        <f t="shared" ca="1" si="4"/>
        <v/>
      </c>
      <c r="B40" s="148" t="str">
        <f t="shared" ca="1" si="0"/>
        <v/>
      </c>
      <c r="C40" s="150" t="str">
        <f t="shared" ca="1" si="1"/>
        <v/>
      </c>
      <c r="D40" s="154" t="str">
        <f t="shared" ca="1" si="2"/>
        <v/>
      </c>
      <c r="E40" s="154" t="str">
        <f t="shared" ca="1" si="3"/>
        <v/>
      </c>
      <c r="F40" s="155"/>
      <c r="G40">
        <f>IF(H40="",0,(MAX($G$1:G39)+1))</f>
        <v>0</v>
      </c>
      <c r="H40" t="str">
        <f>IF('Services &amp; Meds'!V38&gt;0,CONCATENATE('Services &amp; Meds'!K38,": ",'Services &amp; Meds'!L38),"")</f>
        <v/>
      </c>
      <c r="I40" s="137" t="str">
        <f>IF('Services &amp; Meds'!V38&gt;0,'Services &amp; Meds'!R38,"")</f>
        <v/>
      </c>
      <c r="J40" t="str">
        <f>IF('Services &amp; Meds'!V38&gt;0,'Services &amp; Meds'!S38,"")</f>
        <v/>
      </c>
      <c r="K40" t="str">
        <f>IF('Services &amp; Meds'!V38&gt;0,'Services &amp; Meds'!V38,"")</f>
        <v/>
      </c>
      <c r="L40" s="140"/>
    </row>
    <row r="41" spans="1:12" ht="25.2" customHeight="1" x14ac:dyDescent="0.3">
      <c r="A41" s="199" t="str">
        <f t="shared" ca="1" si="4"/>
        <v/>
      </c>
      <c r="B41" s="148" t="str">
        <f t="shared" ca="1" si="0"/>
        <v/>
      </c>
      <c r="C41" s="150" t="str">
        <f t="shared" ca="1" si="1"/>
        <v/>
      </c>
      <c r="D41" s="154" t="str">
        <f t="shared" ca="1" si="2"/>
        <v/>
      </c>
      <c r="E41" s="154" t="str">
        <f t="shared" ca="1" si="3"/>
        <v/>
      </c>
      <c r="F41" s="155"/>
      <c r="G41">
        <f>IF(H41="",0,(MAX($G$1:G40)+1))</f>
        <v>0</v>
      </c>
      <c r="H41" t="str">
        <f>IF('Services &amp; Meds'!V39&gt;0,CONCATENATE('Services &amp; Meds'!K39,": ",'Services &amp; Meds'!L39),"")</f>
        <v/>
      </c>
      <c r="I41" s="137" t="str">
        <f>IF('Services &amp; Meds'!V39&gt;0,'Services &amp; Meds'!R39,"")</f>
        <v/>
      </c>
      <c r="J41" t="str">
        <f>IF('Services &amp; Meds'!V39&gt;0,'Services &amp; Meds'!S39,"")</f>
        <v/>
      </c>
      <c r="K41" t="str">
        <f>IF('Services &amp; Meds'!V39&gt;0,'Services &amp; Meds'!V39,"")</f>
        <v/>
      </c>
      <c r="L41" s="140"/>
    </row>
    <row r="42" spans="1:12" ht="25.2" customHeight="1" x14ac:dyDescent="0.3">
      <c r="A42" s="199" t="str">
        <f t="shared" ca="1" si="4"/>
        <v/>
      </c>
      <c r="B42" s="148" t="str">
        <f t="shared" ca="1" si="0"/>
        <v/>
      </c>
      <c r="C42" s="150" t="str">
        <f t="shared" ca="1" si="1"/>
        <v/>
      </c>
      <c r="D42" s="154" t="str">
        <f t="shared" ca="1" si="2"/>
        <v/>
      </c>
      <c r="E42" s="154" t="str">
        <f t="shared" ca="1" si="3"/>
        <v/>
      </c>
      <c r="F42" s="155"/>
      <c r="G42">
        <f>IF(H42="",0,(MAX($G$1:G41)+1))</f>
        <v>0</v>
      </c>
      <c r="H42" t="str">
        <f>IF('Services &amp; Meds'!V40&gt;0,CONCATENATE('Services &amp; Meds'!K40,": ",'Services &amp; Meds'!L40),"")</f>
        <v/>
      </c>
      <c r="I42" s="137" t="str">
        <f>IF('Services &amp; Meds'!V40&gt;0,'Services &amp; Meds'!R40,"")</f>
        <v/>
      </c>
      <c r="J42" t="str">
        <f>IF('Services &amp; Meds'!V40&gt;0,'Services &amp; Meds'!S40,"")</f>
        <v/>
      </c>
      <c r="K42" t="str">
        <f>IF('Services &amp; Meds'!V40&gt;0,'Services &amp; Meds'!V40,"")</f>
        <v/>
      </c>
      <c r="L42" s="140"/>
    </row>
    <row r="43" spans="1:12" ht="25.2" customHeight="1" x14ac:dyDescent="0.3">
      <c r="A43" s="199" t="str">
        <f t="shared" ca="1" si="4"/>
        <v/>
      </c>
      <c r="B43" s="148" t="str">
        <f t="shared" ca="1" si="0"/>
        <v/>
      </c>
      <c r="C43" s="150" t="str">
        <f t="shared" ca="1" si="1"/>
        <v/>
      </c>
      <c r="D43" s="154" t="str">
        <f t="shared" ca="1" si="2"/>
        <v/>
      </c>
      <c r="E43" s="154" t="str">
        <f t="shared" ca="1" si="3"/>
        <v/>
      </c>
      <c r="F43" s="155"/>
      <c r="G43">
        <f>IF(H43="",0,(MAX($G$1:G42)+1))</f>
        <v>0</v>
      </c>
      <c r="H43" t="str">
        <f>IF('Services &amp; Meds'!V41&gt;0,CONCATENATE('Services &amp; Meds'!K41,": ",'Services &amp; Meds'!L41),"")</f>
        <v/>
      </c>
      <c r="I43" s="137" t="str">
        <f>IF('Services &amp; Meds'!V41&gt;0,'Services &amp; Meds'!R41,"")</f>
        <v/>
      </c>
      <c r="J43" t="str">
        <f>IF('Services &amp; Meds'!V41&gt;0,'Services &amp; Meds'!S41,"")</f>
        <v/>
      </c>
      <c r="K43" t="str">
        <f>IF('Services &amp; Meds'!V41&gt;0,'Services &amp; Meds'!V41,"")</f>
        <v/>
      </c>
      <c r="L43" s="140"/>
    </row>
    <row r="44" spans="1:12" ht="25.2" customHeight="1" x14ac:dyDescent="0.3">
      <c r="A44" s="199" t="str">
        <f t="shared" ca="1" si="4"/>
        <v/>
      </c>
      <c r="B44" s="148" t="str">
        <f t="shared" ca="1" si="0"/>
        <v/>
      </c>
      <c r="C44" s="150" t="str">
        <f t="shared" ca="1" si="1"/>
        <v/>
      </c>
      <c r="D44" s="154" t="str">
        <f t="shared" ca="1" si="2"/>
        <v/>
      </c>
      <c r="E44" s="154" t="str">
        <f t="shared" ca="1" si="3"/>
        <v/>
      </c>
      <c r="F44" s="155"/>
      <c r="G44">
        <f>IF(H44="",0,(MAX($G$1:G43)+1))</f>
        <v>0</v>
      </c>
      <c r="H44" t="str">
        <f>IF('Services &amp; Meds'!V42&gt;0,CONCATENATE('Services &amp; Meds'!K42,": ",'Services &amp; Meds'!L42),"")</f>
        <v/>
      </c>
      <c r="I44" s="137" t="str">
        <f>IF('Services &amp; Meds'!V42&gt;0,'Services &amp; Meds'!R42,"")</f>
        <v/>
      </c>
      <c r="J44" t="str">
        <f>IF('Services &amp; Meds'!V42&gt;0,'Services &amp; Meds'!S42,"")</f>
        <v/>
      </c>
      <c r="K44" t="str">
        <f>IF('Services &amp; Meds'!V42&gt;0,'Services &amp; Meds'!V42,"")</f>
        <v/>
      </c>
      <c r="L44" s="140"/>
    </row>
    <row r="45" spans="1:12" ht="25.2" customHeight="1" x14ac:dyDescent="0.3">
      <c r="A45" s="199" t="str">
        <f t="shared" ca="1" si="4"/>
        <v/>
      </c>
      <c r="B45" s="148" t="str">
        <f t="shared" ca="1" si="0"/>
        <v/>
      </c>
      <c r="C45" s="150" t="str">
        <f t="shared" ca="1" si="1"/>
        <v/>
      </c>
      <c r="D45" s="154" t="str">
        <f t="shared" ca="1" si="2"/>
        <v/>
      </c>
      <c r="E45" s="154" t="str">
        <f t="shared" ca="1" si="3"/>
        <v/>
      </c>
      <c r="F45" s="155"/>
      <c r="G45">
        <f>IF(H45="",0,(MAX($G$1:G44)+1))</f>
        <v>0</v>
      </c>
      <c r="H45" t="str">
        <f>IF('Services &amp; Meds'!V43&gt;0,CONCATENATE('Services &amp; Meds'!K43,": ",'Services &amp; Meds'!L43),"")</f>
        <v/>
      </c>
      <c r="I45" s="137" t="str">
        <f>IF('Services &amp; Meds'!V43&gt;0,'Services &amp; Meds'!R43,"")</f>
        <v/>
      </c>
      <c r="J45" t="str">
        <f>IF('Services &amp; Meds'!V43&gt;0,'Services &amp; Meds'!S43,"")</f>
        <v/>
      </c>
      <c r="K45" t="str">
        <f>IF('Services &amp; Meds'!V43&gt;0,'Services &amp; Meds'!V43,"")</f>
        <v/>
      </c>
      <c r="L45" s="140"/>
    </row>
    <row r="46" spans="1:12" ht="25.2" customHeight="1" x14ac:dyDescent="0.3">
      <c r="A46" s="199" t="str">
        <f t="shared" ca="1" si="4"/>
        <v/>
      </c>
      <c r="B46" s="148" t="str">
        <f t="shared" ca="1" si="0"/>
        <v/>
      </c>
      <c r="C46" s="150" t="str">
        <f t="shared" ca="1" si="1"/>
        <v/>
      </c>
      <c r="D46" s="154" t="str">
        <f t="shared" ca="1" si="2"/>
        <v/>
      </c>
      <c r="E46" s="154" t="str">
        <f t="shared" ca="1" si="3"/>
        <v/>
      </c>
      <c r="F46" s="155"/>
      <c r="G46">
        <f>IF(H46="",0,(MAX($G$1:G45)+1))</f>
        <v>0</v>
      </c>
      <c r="H46" t="str">
        <f>IF('Services &amp; Meds'!V44&gt;0,CONCATENATE('Services &amp; Meds'!K44,": ",'Services &amp; Meds'!L44),"")</f>
        <v/>
      </c>
      <c r="I46" s="137" t="str">
        <f>IF('Services &amp; Meds'!V44&gt;0,'Services &amp; Meds'!R44,"")</f>
        <v/>
      </c>
      <c r="J46" t="str">
        <f>IF('Services &amp; Meds'!V44&gt;0,'Services &amp; Meds'!S44,"")</f>
        <v/>
      </c>
      <c r="K46" t="str">
        <f>IF('Services &amp; Meds'!V44&gt;0,'Services &amp; Meds'!V44,"")</f>
        <v/>
      </c>
      <c r="L46" s="140"/>
    </row>
    <row r="47" spans="1:12" ht="16.05" customHeight="1" x14ac:dyDescent="0.3">
      <c r="A47" s="199" t="str">
        <f t="shared" ca="1" si="4"/>
        <v/>
      </c>
      <c r="B47" s="148" t="str">
        <f t="shared" ca="1" si="0"/>
        <v/>
      </c>
      <c r="C47" s="150" t="str">
        <f t="shared" ca="1" si="1"/>
        <v/>
      </c>
      <c r="D47" s="154" t="str">
        <f t="shared" ca="1" si="2"/>
        <v/>
      </c>
      <c r="E47" s="154" t="str">
        <f t="shared" ca="1" si="3"/>
        <v/>
      </c>
      <c r="F47" s="155"/>
      <c r="G47">
        <f>IF(H47="",0,(MAX($G$1:G46)+1))</f>
        <v>0</v>
      </c>
      <c r="H47" t="str">
        <f>IF('Services &amp; Meds'!V45&gt;0,CONCATENATE('Services &amp; Meds'!K45,": ",'Services &amp; Meds'!L45),"")</f>
        <v/>
      </c>
      <c r="I47" s="137" t="str">
        <f>IF('Services &amp; Meds'!V45&gt;0,'Services &amp; Meds'!R45,"")</f>
        <v/>
      </c>
      <c r="J47" t="str">
        <f>IF('Services &amp; Meds'!V45&gt;0,'Services &amp; Meds'!S45,"")</f>
        <v/>
      </c>
      <c r="K47" t="str">
        <f>IF('Services &amp; Meds'!V45&gt;0,'Services &amp; Meds'!V45,"")</f>
        <v/>
      </c>
      <c r="L47" s="140"/>
    </row>
    <row r="48" spans="1:12" ht="16.05" customHeight="1" x14ac:dyDescent="0.3">
      <c r="A48" s="199" t="str">
        <f t="shared" ca="1" si="4"/>
        <v/>
      </c>
      <c r="B48" s="148" t="str">
        <f t="shared" ca="1" si="0"/>
        <v/>
      </c>
      <c r="C48" s="150" t="str">
        <f t="shared" ca="1" si="1"/>
        <v/>
      </c>
      <c r="D48" s="154" t="str">
        <f t="shared" ca="1" si="2"/>
        <v/>
      </c>
      <c r="E48" s="154" t="str">
        <f t="shared" ca="1" si="3"/>
        <v/>
      </c>
      <c r="F48" s="155"/>
      <c r="G48">
        <f>IF(H48="",0,(MAX($G$1:G47)+1))</f>
        <v>0</v>
      </c>
      <c r="H48" t="str">
        <f>IF('Services &amp; Meds'!V46&gt;0,CONCATENATE('Services &amp; Meds'!K46,": ",'Services &amp; Meds'!L46),"")</f>
        <v/>
      </c>
      <c r="I48" s="137" t="str">
        <f>IF('Services &amp; Meds'!V46&gt;0,'Services &amp; Meds'!R46,"")</f>
        <v/>
      </c>
      <c r="J48" t="str">
        <f>IF('Services &amp; Meds'!V46&gt;0,'Services &amp; Meds'!S46,"")</f>
        <v/>
      </c>
      <c r="K48" t="str">
        <f>IF('Services &amp; Meds'!V46&gt;0,'Services &amp; Meds'!V46,"")</f>
        <v/>
      </c>
      <c r="L48" s="140"/>
    </row>
    <row r="49" spans="1:18" ht="16.05" customHeight="1" x14ac:dyDescent="0.3">
      <c r="A49" s="199" t="str">
        <f t="shared" ca="1" si="4"/>
        <v/>
      </c>
      <c r="B49" s="148" t="str">
        <f t="shared" ca="1" si="0"/>
        <v/>
      </c>
      <c r="C49" s="150" t="str">
        <f t="shared" ca="1" si="1"/>
        <v/>
      </c>
      <c r="D49" s="154" t="str">
        <f t="shared" ca="1" si="2"/>
        <v/>
      </c>
      <c r="E49" s="154" t="str">
        <f t="shared" ca="1" si="3"/>
        <v/>
      </c>
      <c r="F49" s="155"/>
      <c r="G49">
        <f>IF(H49="",0,(MAX($G$1:G48)+1))</f>
        <v>0</v>
      </c>
      <c r="H49" t="str">
        <f>IF('Services &amp; Meds'!V47&gt;0,CONCATENATE('Services &amp; Meds'!K47,": ",'Services &amp; Meds'!L47),"")</f>
        <v/>
      </c>
      <c r="I49" s="137" t="str">
        <f>IF('Services &amp; Meds'!V47&gt;0,'Services &amp; Meds'!R47,"")</f>
        <v/>
      </c>
      <c r="J49" t="str">
        <f>IF('Services &amp; Meds'!V47&gt;0,'Services &amp; Meds'!S47,"")</f>
        <v/>
      </c>
      <c r="K49" t="str">
        <f>IF('Services &amp; Meds'!V47&gt;0,'Services &amp; Meds'!V47,"")</f>
        <v/>
      </c>
      <c r="L49" s="140"/>
    </row>
    <row r="50" spans="1:18" ht="16.05" customHeight="1" x14ac:dyDescent="0.3">
      <c r="A50" s="199" t="str">
        <f t="shared" ca="1" si="4"/>
        <v/>
      </c>
      <c r="B50" s="148" t="str">
        <f t="shared" ca="1" si="0"/>
        <v/>
      </c>
      <c r="C50" s="150" t="str">
        <f t="shared" ca="1" si="1"/>
        <v/>
      </c>
      <c r="D50" s="154" t="str">
        <f t="shared" ca="1" si="2"/>
        <v/>
      </c>
      <c r="E50" s="154" t="str">
        <f t="shared" ca="1" si="3"/>
        <v/>
      </c>
      <c r="F50" s="155"/>
      <c r="G50">
        <f>IF(H50="",0,(MAX($G$1:G49)+1))</f>
        <v>0</v>
      </c>
      <c r="H50" t="str">
        <f>IF('Services &amp; Meds'!V48&gt;0,CONCATENATE('Services &amp; Meds'!K48,": ",'Services &amp; Meds'!L48),"")</f>
        <v/>
      </c>
      <c r="I50" s="137" t="str">
        <f>IF('Services &amp; Meds'!V48&gt;0,'Services &amp; Meds'!R48,"")</f>
        <v/>
      </c>
      <c r="J50" t="str">
        <f>IF('Services &amp; Meds'!V48&gt;0,'Services &amp; Meds'!S48,"")</f>
        <v/>
      </c>
      <c r="K50" t="str">
        <f>IF('Services &amp; Meds'!V48&gt;0,'Services &amp; Meds'!V48,"")</f>
        <v/>
      </c>
      <c r="L50" s="140"/>
    </row>
    <row r="51" spans="1:18" ht="16.05" customHeight="1" x14ac:dyDescent="0.3">
      <c r="A51" s="199" t="str">
        <f t="shared" ca="1" si="4"/>
        <v/>
      </c>
      <c r="B51" s="148" t="str">
        <f t="shared" ca="1" si="0"/>
        <v/>
      </c>
      <c r="C51" s="150" t="str">
        <f t="shared" ca="1" si="1"/>
        <v/>
      </c>
      <c r="D51" s="154" t="str">
        <f t="shared" ca="1" si="2"/>
        <v/>
      </c>
      <c r="E51" s="154" t="str">
        <f t="shared" ca="1" si="3"/>
        <v/>
      </c>
      <c r="F51" s="155"/>
      <c r="G51">
        <f>IF(H51="",0,(MAX($G$1:G50)+1))</f>
        <v>0</v>
      </c>
      <c r="H51" t="str">
        <f>IF('Services &amp; Meds'!V49&gt;0,CONCATENATE('Services &amp; Meds'!K49,": ",'Services &amp; Meds'!L49),"")</f>
        <v/>
      </c>
      <c r="I51" s="137" t="str">
        <f>IF('Services &amp; Meds'!V49&gt;0,'Services &amp; Meds'!R49,"")</f>
        <v/>
      </c>
      <c r="J51" t="str">
        <f>IF('Services &amp; Meds'!V49&gt;0,'Services &amp; Meds'!S49,"")</f>
        <v/>
      </c>
      <c r="K51" t="str">
        <f>IF('Services &amp; Meds'!V49&gt;0,'Services &amp; Meds'!V49,"")</f>
        <v/>
      </c>
      <c r="L51" s="140"/>
      <c r="R51"/>
    </row>
    <row r="52" spans="1:18" ht="16.05" customHeight="1" x14ac:dyDescent="0.3">
      <c r="A52" s="199" t="str">
        <f t="shared" ca="1" si="4"/>
        <v/>
      </c>
      <c r="B52" s="148" t="str">
        <f t="shared" ca="1" si="0"/>
        <v/>
      </c>
      <c r="C52" s="150" t="str">
        <f t="shared" ca="1" si="1"/>
        <v/>
      </c>
      <c r="D52" s="154" t="str">
        <f t="shared" ca="1" si="2"/>
        <v/>
      </c>
      <c r="E52" s="154" t="str">
        <f t="shared" ca="1" si="3"/>
        <v/>
      </c>
      <c r="F52" s="155"/>
      <c r="G52">
        <f>IF(H52="",0,(MAX($G$1:G51)+1))</f>
        <v>0</v>
      </c>
      <c r="H52" t="str">
        <f>IF('Services &amp; Meds'!V50&gt;0,CONCATENATE('Services &amp; Meds'!K50,": ",'Services &amp; Meds'!L50),"")</f>
        <v/>
      </c>
      <c r="I52" s="137" t="str">
        <f>IF('Services &amp; Meds'!V50&gt;0,'Services &amp; Meds'!R50,"")</f>
        <v/>
      </c>
      <c r="J52" t="str">
        <f>IF('Services &amp; Meds'!V50&gt;0,'Services &amp; Meds'!S50,"")</f>
        <v/>
      </c>
      <c r="K52" t="str">
        <f>IF('Services &amp; Meds'!V50&gt;0,'Services &amp; Meds'!V50,"")</f>
        <v/>
      </c>
      <c r="L52" s="140"/>
    </row>
    <row r="53" spans="1:18" ht="16.05" customHeight="1" x14ac:dyDescent="0.3">
      <c r="A53" s="199" t="str">
        <f t="shared" ca="1" si="4"/>
        <v/>
      </c>
      <c r="B53" s="148" t="str">
        <f t="shared" ca="1" si="0"/>
        <v/>
      </c>
      <c r="G53">
        <f>IF(H53="",0,(MAX($G$1:G52)+1))</f>
        <v>0</v>
      </c>
      <c r="H53" t="str">
        <f>IF('Services &amp; Meds'!V51&gt;0,CONCATENATE('Services &amp; Meds'!K51,": ",'Services &amp; Meds'!L51),"")</f>
        <v/>
      </c>
      <c r="I53" s="137" t="str">
        <f>IF('Services &amp; Meds'!V51&gt;0,'Services &amp; Meds'!R51,"")</f>
        <v/>
      </c>
      <c r="J53" t="str">
        <f>IF('Services &amp; Meds'!V51&gt;0,'Services &amp; Meds'!S51,"")</f>
        <v/>
      </c>
      <c r="K53" t="str">
        <f>IF('Services &amp; Meds'!V51&gt;0,'Services &amp; Meds'!V51,"")</f>
        <v/>
      </c>
      <c r="L53" s="140"/>
    </row>
    <row r="54" spans="1:18" ht="16.05" customHeight="1" x14ac:dyDescent="0.3">
      <c r="A54" s="199" t="str">
        <f t="shared" ca="1" si="4"/>
        <v/>
      </c>
      <c r="B54" s="148" t="str">
        <f t="shared" ca="1" si="0"/>
        <v/>
      </c>
      <c r="G54">
        <f>IF(H54="",0,(MAX($G$1:G53)+1))</f>
        <v>0</v>
      </c>
      <c r="H54" t="str">
        <f>IF($C$1="","",IF('Drug Prices'!E2="","",CONCATENATE("Drug Purchase: ",'Drug Prices'!A2)))</f>
        <v/>
      </c>
      <c r="I54" s="137" t="str">
        <f>IF(H54="","",IF('Drug Prices'!A2="","",'Drug Prices'!C2))</f>
        <v/>
      </c>
      <c r="J54" t="str">
        <f>IF(H54="","",IF('Drug Prices'!A2="","""",'Drug Prices'!D2))</f>
        <v/>
      </c>
      <c r="K54" t="str">
        <f>IF(H54="","",IF('Drug Prices'!A2="","",'Drug Prices'!E2))</f>
        <v/>
      </c>
      <c r="L54" s="161"/>
    </row>
    <row r="55" spans="1:18" x14ac:dyDescent="0.3">
      <c r="A55" s="199" t="str">
        <f t="shared" ca="1" si="4"/>
        <v/>
      </c>
      <c r="B55" s="148" t="str">
        <f t="shared" ca="1" si="0"/>
        <v/>
      </c>
      <c r="G55">
        <f>IF(H55="",0,(MAX($G$1:G54)+1))</f>
        <v>0</v>
      </c>
      <c r="H55" t="str">
        <f>IF($C$1="","",IF('Drug Prices'!E3="","",CONCATENATE("Drug Purchase: ",'Drug Prices'!A3)))</f>
        <v/>
      </c>
      <c r="I55" s="163" t="str">
        <f>IF(H55="","",IF('Drug Prices'!A3="","",'Drug Prices'!C3))</f>
        <v/>
      </c>
      <c r="J55" t="str">
        <f>IF(H55="","",IF('Drug Prices'!A3="","""",'Drug Prices'!D3))</f>
        <v/>
      </c>
      <c r="K55" t="str">
        <f>IF(H55="","",IF('Drug Prices'!A3="","",'Drug Prices'!E3))</f>
        <v/>
      </c>
      <c r="L55" s="161"/>
    </row>
    <row r="56" spans="1:18" x14ac:dyDescent="0.3">
      <c r="A56" s="199" t="str">
        <f t="shared" ca="1" si="4"/>
        <v/>
      </c>
      <c r="B56" s="148" t="str">
        <f t="shared" ca="1" si="0"/>
        <v/>
      </c>
      <c r="G56">
        <f>IF(H56="",0,(MAX($G$1:G55)+1))</f>
        <v>0</v>
      </c>
      <c r="H56" t="str">
        <f>IF($C$1="","",IF('Drug Prices'!E4="","",CONCATENATE("Drug Purchase: ",'Drug Prices'!A4)))</f>
        <v/>
      </c>
      <c r="I56" s="163" t="str">
        <f>IF(H56="","",IF('Drug Prices'!A4="","",'Drug Prices'!C4))</f>
        <v/>
      </c>
      <c r="J56" t="str">
        <f>IF(H56="","",IF('Drug Prices'!A4="","""",'Drug Prices'!D4))</f>
        <v/>
      </c>
      <c r="K56" t="str">
        <f>IF(H56="","",IF('Drug Prices'!A4="","",'Drug Prices'!E4))</f>
        <v/>
      </c>
      <c r="L56" s="161"/>
    </row>
    <row r="57" spans="1:18" x14ac:dyDescent="0.3">
      <c r="A57" s="199" t="str">
        <f t="shared" ca="1" si="4"/>
        <v/>
      </c>
      <c r="B57" s="148" t="str">
        <f t="shared" ca="1" si="0"/>
        <v/>
      </c>
      <c r="G57">
        <f>IF(H57="",0,(MAX($G$1:G56)+1))</f>
        <v>0</v>
      </c>
      <c r="H57" t="str">
        <f>IF($C$1="","",IF('Drug Prices'!E5="","",CONCATENATE("Drug Purchase: ",'Drug Prices'!A5)))</f>
        <v/>
      </c>
      <c r="I57" s="163" t="str">
        <f>IF(H57="","",IF('Drug Prices'!A5="","",'Drug Prices'!C5))</f>
        <v/>
      </c>
      <c r="J57" t="str">
        <f>IF(H57="","",IF('Drug Prices'!A5="","""",'Drug Prices'!D5))</f>
        <v/>
      </c>
      <c r="K57" t="str">
        <f>IF(H57="","",IF('Drug Prices'!A5="","",'Drug Prices'!E5))</f>
        <v/>
      </c>
      <c r="L57" s="161"/>
    </row>
    <row r="58" spans="1:18" x14ac:dyDescent="0.3">
      <c r="A58" s="199" t="str">
        <f t="shared" ca="1" si="4"/>
        <v/>
      </c>
      <c r="B58" s="148" t="str">
        <f t="shared" ca="1" si="0"/>
        <v/>
      </c>
      <c r="G58">
        <f>IF(H58="",0,(MAX($G$1:G57)+1))</f>
        <v>0</v>
      </c>
      <c r="H58" t="str">
        <f>IF($C$1="","",IF('Drug Prices'!E6="","",CONCATENATE("Drug Purchase: ",'Drug Prices'!A6)))</f>
        <v/>
      </c>
      <c r="I58" s="163" t="str">
        <f>IF(H58="","",IF('Drug Prices'!A6="","",'Drug Prices'!C6))</f>
        <v/>
      </c>
      <c r="J58" t="str">
        <f>IF(H58="","",IF('Drug Prices'!A6="","""",'Drug Prices'!D6))</f>
        <v/>
      </c>
      <c r="K58" t="str">
        <f>IF(H58="","",IF('Drug Prices'!A6="","",'Drug Prices'!E6))</f>
        <v/>
      </c>
      <c r="L58" s="161"/>
    </row>
    <row r="59" spans="1:18" x14ac:dyDescent="0.3">
      <c r="A59" s="199" t="str">
        <f t="shared" ca="1" si="4"/>
        <v/>
      </c>
      <c r="B59" s="148" t="str">
        <f t="shared" ca="1" si="0"/>
        <v/>
      </c>
      <c r="G59">
        <f>IF(H59="",0,(MAX($G$1:G58)+1))</f>
        <v>0</v>
      </c>
      <c r="H59" t="str">
        <f>IF($C$1="","",IF('Drug Prices'!E7="","",CONCATENATE("Drug Purchase: ",'Drug Prices'!A7)))</f>
        <v/>
      </c>
      <c r="I59" s="163" t="str">
        <f>IF(H59="","",IF('Drug Prices'!A7="","",'Drug Prices'!C7))</f>
        <v/>
      </c>
      <c r="J59" t="str">
        <f>IF(H59="","",IF('Drug Prices'!A7="","""",'Drug Prices'!D7))</f>
        <v/>
      </c>
      <c r="K59" t="str">
        <f>IF(H59="","",IF('Drug Prices'!A7="","",'Drug Prices'!E7))</f>
        <v/>
      </c>
      <c r="L59" s="161"/>
    </row>
    <row r="60" spans="1:18" x14ac:dyDescent="0.3">
      <c r="A60" s="199" t="str">
        <f t="shared" ca="1" si="4"/>
        <v/>
      </c>
      <c r="B60" s="148" t="str">
        <f t="shared" ca="1" si="0"/>
        <v/>
      </c>
      <c r="G60">
        <f>IF(H60="",0,(MAX($G$1:G59)+1))</f>
        <v>0</v>
      </c>
      <c r="H60" t="str">
        <f>IF($C$1="","",IF('Drug Prices'!E8="","",CONCATENATE("Drug Purchase: ",'Drug Prices'!A8)))</f>
        <v/>
      </c>
      <c r="I60" s="163" t="str">
        <f>IF(H60="","",IF('Drug Prices'!A8="","",'Drug Prices'!C8))</f>
        <v/>
      </c>
      <c r="J60" t="str">
        <f>IF(H60="","",IF('Drug Prices'!A8="","""",'Drug Prices'!D8))</f>
        <v/>
      </c>
      <c r="K60" t="str">
        <f>IF(H60="","",IF('Drug Prices'!A8="","",'Drug Prices'!E8))</f>
        <v/>
      </c>
      <c r="L60" s="161"/>
    </row>
    <row r="61" spans="1:18" x14ac:dyDescent="0.3">
      <c r="A61" s="199" t="str">
        <f t="shared" ca="1" si="4"/>
        <v/>
      </c>
      <c r="B61" s="148" t="str">
        <f t="shared" ca="1" si="0"/>
        <v/>
      </c>
      <c r="G61">
        <f>IF(H61="",0,(MAX($G$1:G60)+1))</f>
        <v>0</v>
      </c>
      <c r="H61" t="str">
        <f>IF($C$1="","",IF('Drug Prices'!E9="","",CONCATENATE("Drug Purchase: ",'Drug Prices'!A9)))</f>
        <v/>
      </c>
      <c r="I61" s="163" t="str">
        <f>IF(H61="","",IF('Drug Prices'!A9="","",'Drug Prices'!C9))</f>
        <v/>
      </c>
      <c r="J61" t="str">
        <f>IF(H61="","",IF('Drug Prices'!A9="","""",'Drug Prices'!D9))</f>
        <v/>
      </c>
      <c r="K61" t="str">
        <f>IF(H61="","",IF('Drug Prices'!A9="","",'Drug Prices'!E9))</f>
        <v/>
      </c>
      <c r="L61" s="161"/>
    </row>
    <row r="62" spans="1:18" x14ac:dyDescent="0.3">
      <c r="A62" s="199" t="str">
        <f t="shared" ca="1" si="4"/>
        <v/>
      </c>
      <c r="B62" s="148" t="str">
        <f t="shared" ca="1" si="0"/>
        <v/>
      </c>
      <c r="G62">
        <f>IF(H62="",0,(MAX($G$1:G61)+1))</f>
        <v>0</v>
      </c>
      <c r="H62" t="str">
        <f>IF($C$1="","",IF('Drug Prices'!E10="","",CONCATENATE("Drug Purchase: ",'Drug Prices'!A10)))</f>
        <v/>
      </c>
      <c r="I62" s="163" t="str">
        <f>IF(H62="","",IF('Drug Prices'!A10="","",'Drug Prices'!C10))</f>
        <v/>
      </c>
      <c r="J62" t="str">
        <f>IF(H62="","",IF('Drug Prices'!A10="","""",'Drug Prices'!D10))</f>
        <v/>
      </c>
      <c r="K62" t="str">
        <f>IF(H62="","",IF('Drug Prices'!A10="","",'Drug Prices'!E10))</f>
        <v/>
      </c>
      <c r="L62" s="161"/>
    </row>
    <row r="63" spans="1:18" x14ac:dyDescent="0.3">
      <c r="A63" s="199" t="str">
        <f t="shared" ca="1" si="4"/>
        <v/>
      </c>
      <c r="B63" s="148" t="str">
        <f t="shared" ca="1" si="0"/>
        <v/>
      </c>
    </row>
    <row r="64" spans="1:18" x14ac:dyDescent="0.3">
      <c r="A64" s="199" t="str">
        <f t="shared" ca="1" si="4"/>
        <v/>
      </c>
      <c r="B64" s="148" t="str">
        <f t="shared" ca="1" si="0"/>
        <v/>
      </c>
    </row>
    <row r="65" spans="1:2" x14ac:dyDescent="0.3">
      <c r="A65" s="199" t="str">
        <f t="shared" ca="1" si="4"/>
        <v/>
      </c>
      <c r="B65" s="148" t="str">
        <f t="shared" ca="1" si="0"/>
        <v/>
      </c>
    </row>
    <row r="66" spans="1:2" x14ac:dyDescent="0.3">
      <c r="A66" s="199" t="str">
        <f t="shared" ca="1" si="4"/>
        <v/>
      </c>
      <c r="B66" s="148" t="str">
        <f t="shared" ca="1" si="0"/>
        <v/>
      </c>
    </row>
    <row r="67" spans="1:2" x14ac:dyDescent="0.3">
      <c r="A67" s="199" t="str">
        <f t="shared" ca="1" si="4"/>
        <v/>
      </c>
      <c r="B67" s="148" t="str">
        <f t="shared" ca="1" si="0"/>
        <v/>
      </c>
    </row>
    <row r="68" spans="1:2" x14ac:dyDescent="0.3">
      <c r="A68" s="199" t="str">
        <f t="shared" ca="1" si="4"/>
        <v/>
      </c>
      <c r="B68" s="148" t="str">
        <f t="shared" ca="1" si="0"/>
        <v/>
      </c>
    </row>
    <row r="69" spans="1:2" x14ac:dyDescent="0.3">
      <c r="A69" s="199" t="str">
        <f t="shared" ca="1" si="4"/>
        <v/>
      </c>
      <c r="B69" s="148" t="str">
        <f t="shared" ca="1" si="0"/>
        <v/>
      </c>
    </row>
    <row r="70" spans="1:2" x14ac:dyDescent="0.3">
      <c r="A70" s="199" t="str">
        <f t="shared" ca="1" si="4"/>
        <v/>
      </c>
      <c r="B70" s="148" t="str">
        <f t="shared" ca="1" si="0"/>
        <v/>
      </c>
    </row>
    <row r="71" spans="1:2" x14ac:dyDescent="0.3">
      <c r="A71" s="199" t="str">
        <f t="shared" ca="1" si="4"/>
        <v/>
      </c>
      <c r="B71" s="148" t="str">
        <f t="shared" ref="B71:B100" ca="1" si="5">IF(A71="","",VLOOKUP(A71,$G$1:$K$62,2,FALSE))</f>
        <v/>
      </c>
    </row>
    <row r="72" spans="1:2" x14ac:dyDescent="0.3">
      <c r="A72" s="199" t="str">
        <f t="shared" ref="A72:A100" ca="1" si="6">IF(A71="","",IF($M$1&gt;=1+A71,A71+1,""))</f>
        <v/>
      </c>
      <c r="B72" s="148" t="str">
        <f t="shared" ca="1" si="5"/>
        <v/>
      </c>
    </row>
    <row r="73" spans="1:2" x14ac:dyDescent="0.3">
      <c r="A73" s="199" t="str">
        <f t="shared" ca="1" si="6"/>
        <v/>
      </c>
      <c r="B73" s="148" t="str">
        <f t="shared" ca="1" si="5"/>
        <v/>
      </c>
    </row>
    <row r="74" spans="1:2" x14ac:dyDescent="0.3">
      <c r="A74" s="199" t="str">
        <f t="shared" ca="1" si="6"/>
        <v/>
      </c>
      <c r="B74" s="148" t="str">
        <f t="shared" ca="1" si="5"/>
        <v/>
      </c>
    </row>
    <row r="75" spans="1:2" x14ac:dyDescent="0.3">
      <c r="A75" s="199" t="str">
        <f t="shared" ca="1" si="6"/>
        <v/>
      </c>
      <c r="B75" s="148" t="str">
        <f t="shared" ca="1" si="5"/>
        <v/>
      </c>
    </row>
    <row r="76" spans="1:2" x14ac:dyDescent="0.3">
      <c r="A76" s="199" t="str">
        <f t="shared" ca="1" si="6"/>
        <v/>
      </c>
      <c r="B76" s="148" t="str">
        <f t="shared" ca="1" si="5"/>
        <v/>
      </c>
    </row>
    <row r="77" spans="1:2" x14ac:dyDescent="0.3">
      <c r="A77" s="199" t="str">
        <f t="shared" ca="1" si="6"/>
        <v/>
      </c>
      <c r="B77" s="148" t="str">
        <f t="shared" ca="1" si="5"/>
        <v/>
      </c>
    </row>
    <row r="78" spans="1:2" x14ac:dyDescent="0.3">
      <c r="A78" s="199" t="str">
        <f t="shared" ca="1" si="6"/>
        <v/>
      </c>
      <c r="B78" s="148" t="str">
        <f t="shared" ca="1" si="5"/>
        <v/>
      </c>
    </row>
    <row r="79" spans="1:2" x14ac:dyDescent="0.3">
      <c r="A79" s="199" t="str">
        <f t="shared" ca="1" si="6"/>
        <v/>
      </c>
      <c r="B79" s="148" t="str">
        <f t="shared" ca="1" si="5"/>
        <v/>
      </c>
    </row>
    <row r="80" spans="1:2" x14ac:dyDescent="0.3">
      <c r="A80" s="199" t="str">
        <f t="shared" ca="1" si="6"/>
        <v/>
      </c>
      <c r="B80" s="148" t="str">
        <f t="shared" ca="1" si="5"/>
        <v/>
      </c>
    </row>
    <row r="81" spans="1:2" x14ac:dyDescent="0.3">
      <c r="A81" s="199" t="str">
        <f t="shared" ca="1" si="6"/>
        <v/>
      </c>
      <c r="B81" s="148" t="str">
        <f t="shared" ca="1" si="5"/>
        <v/>
      </c>
    </row>
    <row r="82" spans="1:2" x14ac:dyDescent="0.3">
      <c r="A82" s="199" t="str">
        <f t="shared" ca="1" si="6"/>
        <v/>
      </c>
      <c r="B82" s="148" t="str">
        <f t="shared" ca="1" si="5"/>
        <v/>
      </c>
    </row>
    <row r="83" spans="1:2" x14ac:dyDescent="0.3">
      <c r="A83" s="199" t="str">
        <f t="shared" ca="1" si="6"/>
        <v/>
      </c>
      <c r="B83" s="148" t="str">
        <f t="shared" ca="1" si="5"/>
        <v/>
      </c>
    </row>
    <row r="84" spans="1:2" x14ac:dyDescent="0.3">
      <c r="A84" s="199" t="str">
        <f t="shared" ca="1" si="6"/>
        <v/>
      </c>
      <c r="B84" s="148" t="str">
        <f t="shared" ca="1" si="5"/>
        <v/>
      </c>
    </row>
    <row r="85" spans="1:2" x14ac:dyDescent="0.3">
      <c r="A85" s="199" t="str">
        <f t="shared" ca="1" si="6"/>
        <v/>
      </c>
      <c r="B85" s="148" t="str">
        <f t="shared" ca="1" si="5"/>
        <v/>
      </c>
    </row>
    <row r="86" spans="1:2" x14ac:dyDescent="0.3">
      <c r="A86" s="199" t="str">
        <f t="shared" ca="1" si="6"/>
        <v/>
      </c>
      <c r="B86" s="148" t="str">
        <f t="shared" ca="1" si="5"/>
        <v/>
      </c>
    </row>
    <row r="87" spans="1:2" x14ac:dyDescent="0.3">
      <c r="A87" s="199" t="str">
        <f t="shared" ca="1" si="6"/>
        <v/>
      </c>
      <c r="B87" s="148" t="str">
        <f t="shared" ca="1" si="5"/>
        <v/>
      </c>
    </row>
    <row r="88" spans="1:2" x14ac:dyDescent="0.3">
      <c r="A88" s="199" t="str">
        <f t="shared" ca="1" si="6"/>
        <v/>
      </c>
      <c r="B88" s="148" t="str">
        <f t="shared" ca="1" si="5"/>
        <v/>
      </c>
    </row>
    <row r="89" spans="1:2" x14ac:dyDescent="0.3">
      <c r="A89" s="199" t="str">
        <f t="shared" ca="1" si="6"/>
        <v/>
      </c>
      <c r="B89" s="148" t="str">
        <f t="shared" ca="1" si="5"/>
        <v/>
      </c>
    </row>
    <row r="90" spans="1:2" x14ac:dyDescent="0.3">
      <c r="A90" s="199" t="str">
        <f t="shared" ca="1" si="6"/>
        <v/>
      </c>
      <c r="B90" s="148" t="str">
        <f t="shared" ca="1" si="5"/>
        <v/>
      </c>
    </row>
    <row r="91" spans="1:2" x14ac:dyDescent="0.3">
      <c r="A91" s="199" t="str">
        <f t="shared" ca="1" si="6"/>
        <v/>
      </c>
      <c r="B91" s="148" t="str">
        <f t="shared" ca="1" si="5"/>
        <v/>
      </c>
    </row>
    <row r="92" spans="1:2" x14ac:dyDescent="0.3">
      <c r="A92" s="199" t="str">
        <f t="shared" ca="1" si="6"/>
        <v/>
      </c>
      <c r="B92" s="148" t="str">
        <f t="shared" ca="1" si="5"/>
        <v/>
      </c>
    </row>
    <row r="93" spans="1:2" x14ac:dyDescent="0.3">
      <c r="A93" s="199" t="str">
        <f t="shared" ca="1" si="6"/>
        <v/>
      </c>
      <c r="B93" s="148" t="str">
        <f t="shared" ca="1" si="5"/>
        <v/>
      </c>
    </row>
    <row r="94" spans="1:2" x14ac:dyDescent="0.3">
      <c r="A94" s="199" t="str">
        <f t="shared" ca="1" si="6"/>
        <v/>
      </c>
      <c r="B94" s="148" t="str">
        <f t="shared" ca="1" si="5"/>
        <v/>
      </c>
    </row>
    <row r="95" spans="1:2" x14ac:dyDescent="0.3">
      <c r="A95" s="199" t="str">
        <f t="shared" ca="1" si="6"/>
        <v/>
      </c>
      <c r="B95" s="148" t="str">
        <f t="shared" ca="1" si="5"/>
        <v/>
      </c>
    </row>
    <row r="96" spans="1:2" x14ac:dyDescent="0.3">
      <c r="A96" s="199" t="str">
        <f t="shared" ca="1" si="6"/>
        <v/>
      </c>
      <c r="B96" s="148" t="str">
        <f t="shared" ca="1" si="5"/>
        <v/>
      </c>
    </row>
    <row r="97" spans="1:2" x14ac:dyDescent="0.3">
      <c r="A97" s="199" t="str">
        <f t="shared" ca="1" si="6"/>
        <v/>
      </c>
      <c r="B97" s="148" t="str">
        <f t="shared" ca="1" si="5"/>
        <v/>
      </c>
    </row>
    <row r="98" spans="1:2" x14ac:dyDescent="0.3">
      <c r="A98" s="199" t="str">
        <f t="shared" ca="1" si="6"/>
        <v/>
      </c>
      <c r="B98" s="148" t="str">
        <f t="shared" ca="1" si="5"/>
        <v/>
      </c>
    </row>
    <row r="99" spans="1:2" x14ac:dyDescent="0.3">
      <c r="A99" s="199" t="str">
        <f t="shared" ca="1" si="6"/>
        <v/>
      </c>
      <c r="B99" s="148" t="str">
        <f t="shared" ca="1" si="5"/>
        <v/>
      </c>
    </row>
    <row r="100" spans="1:2" x14ac:dyDescent="0.3">
      <c r="A100" s="199" t="str">
        <f t="shared" ca="1" si="6"/>
        <v/>
      </c>
      <c r="B100" s="148" t="str">
        <f t="shared" ca="1" si="5"/>
        <v/>
      </c>
    </row>
  </sheetData>
  <sheetProtection algorithmName="SHA-512" hashValue="Pl9yeIL3eIxmyj9Bcgd5XptOgMotjukBgNeztnODI8bDPNjj/eSZ0heExnAhvhUzENnjco3Pried6XQ5U5C+qA==" saltValue="4xLK6V6aE3RkVwx8udA16A==" spinCount="100000" sheet="1" objects="1" scenarios="1" selectLockedCells="1" sort="0"/>
  <sortState xmlns:xlrd2="http://schemas.microsoft.com/office/spreadsheetml/2017/richdata2" ref="H1:K59">
    <sortCondition descending="1" ref="H1"/>
  </sortState>
  <mergeCells count="4">
    <mergeCell ref="C1:D1"/>
    <mergeCell ref="C3:D3"/>
    <mergeCell ref="S1:Z2"/>
    <mergeCell ref="C2:D2"/>
  </mergeCells>
  <dataValidations count="1">
    <dataValidation type="list" allowBlank="1" showInputMessage="1" showErrorMessage="1" sqref="C1" xr:uid="{00000000-0002-0000-0800-000000000000}">
      <formula1>$R$1:$R$3</formula1>
    </dataValidation>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2</vt:i4>
      </vt:variant>
    </vt:vector>
  </HeadingPairs>
  <TitlesOfParts>
    <vt:vector size="11" baseType="lpstr">
      <vt:lpstr>Instructions</vt:lpstr>
      <vt:lpstr>Protocol Cover Sheet</vt:lpstr>
      <vt:lpstr>Startup</vt:lpstr>
      <vt:lpstr>Maintenence</vt:lpstr>
      <vt:lpstr>Services &amp; Meds</vt:lpstr>
      <vt:lpstr>Services</vt:lpstr>
      <vt:lpstr>Testing</vt:lpstr>
      <vt:lpstr>Drug Prices</vt:lpstr>
      <vt:lpstr>Estimate Details</vt:lpstr>
      <vt:lpstr>'Services &amp; Meds'!Print_Area</vt:lpstr>
      <vt:lpstr>Services!Print_Titles</vt:lpstr>
    </vt:vector>
  </TitlesOfParts>
  <Company>PMACS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Windows User</cp:lastModifiedBy>
  <cp:lastPrinted>2020-02-03T14:36:32Z</cp:lastPrinted>
  <dcterms:created xsi:type="dcterms:W3CDTF">2019-06-10T15:45:18Z</dcterms:created>
  <dcterms:modified xsi:type="dcterms:W3CDTF">2020-07-13T19:53:49Z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