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cmolli\Documents\4 - IDS\IDS Estimate\Estimate Tool\"/>
    </mc:Choice>
  </mc:AlternateContent>
  <xr:revisionPtr revIDLastSave="0" documentId="8_{09AB0E7B-58DE-4E58-9B9B-FAAAA293554C}" xr6:coauthVersionLast="47" xr6:coauthVersionMax="47" xr10:uidLastSave="{00000000-0000-0000-0000-000000000000}"/>
  <bookViews>
    <workbookView xWindow="-108" yWindow="-108" windowWidth="23256" windowHeight="12576" tabRatio="803" xr2:uid="{00000000-000D-0000-FFFF-FFFF00000000}"/>
  </bookViews>
  <sheets>
    <sheet name="Instructions" sheetId="13" r:id="rId1"/>
    <sheet name="Protocol Cover Sheet" sheetId="1" r:id="rId2"/>
    <sheet name="Medications" sheetId="16" r:id="rId3"/>
    <sheet name="Start Calc" sheetId="4" state="hidden" r:id="rId4"/>
    <sheet name="Main Calc" sheetId="8" state="hidden" r:id="rId5"/>
    <sheet name="Initiation &amp; Maintenance" sheetId="17" r:id="rId6"/>
    <sheet name="Dispensing" sheetId="15" r:id="rId7"/>
    <sheet name="Manufacturing-Testing-Other" sheetId="2" r:id="rId8"/>
    <sheet name="Drug &amp; Supply Prices" sheetId="12" r:id="rId9"/>
    <sheet name="Estimate Details" sheetId="11" r:id="rId10"/>
  </sheets>
  <definedNames>
    <definedName name="_xlnm.Print_Area" localSheetId="7">'Manufacturing-Testing-Other'!$A$1:$H$52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 i="11" l="1"/>
  <c r="G41" i="11"/>
  <c r="G42" i="11"/>
  <c r="G43" i="11"/>
  <c r="G44" i="11"/>
  <c r="G46" i="11"/>
  <c r="G47" i="11"/>
  <c r="G48" i="11"/>
  <c r="G49" i="11"/>
  <c r="G50" i="11"/>
  <c r="G51" i="11"/>
  <c r="G52" i="11"/>
  <c r="G53" i="11"/>
  <c r="G54" i="11"/>
  <c r="G55" i="11"/>
  <c r="G56" i="11"/>
  <c r="G57" i="11"/>
  <c r="G58" i="11"/>
  <c r="G59" i="11"/>
  <c r="G60" i="11"/>
  <c r="P15" i="2"/>
  <c r="O15" i="2"/>
  <c r="O6" i="2"/>
  <c r="P6" i="2"/>
  <c r="Q6" i="2"/>
  <c r="R6" i="2"/>
  <c r="O14" i="2"/>
  <c r="P14" i="2"/>
  <c r="O13" i="2"/>
  <c r="P13" i="2"/>
  <c r="R3" i="2"/>
  <c r="R4" i="2"/>
  <c r="R5" i="2"/>
  <c r="R7" i="2"/>
  <c r="R8" i="2"/>
  <c r="R9" i="2"/>
  <c r="R10" i="2"/>
  <c r="R11" i="2"/>
  <c r="R12" i="2"/>
  <c r="R13" i="2"/>
  <c r="R14" i="2"/>
  <c r="R15" i="2"/>
  <c r="R2" i="2"/>
  <c r="Q3" i="2"/>
  <c r="Q4" i="2"/>
  <c r="Q5" i="2"/>
  <c r="Q7" i="2"/>
  <c r="Q8" i="2"/>
  <c r="Q9" i="2"/>
  <c r="Q10" i="2"/>
  <c r="Q11" i="2"/>
  <c r="Q12" i="2"/>
  <c r="Q13" i="2"/>
  <c r="Q14" i="2"/>
  <c r="Q15" i="2"/>
  <c r="Q2" i="2"/>
  <c r="O12" i="2"/>
  <c r="P12" i="2"/>
  <c r="O11" i="2"/>
  <c r="P11" i="2"/>
  <c r="O39" i="2" l="1"/>
  <c r="O28" i="2"/>
  <c r="O29" i="2"/>
  <c r="O30" i="2"/>
  <c r="O31" i="2"/>
  <c r="O32" i="2"/>
  <c r="O33" i="2"/>
  <c r="O34" i="2"/>
  <c r="O35" i="2"/>
  <c r="O36" i="2"/>
  <c r="O37" i="2"/>
  <c r="O27" i="2"/>
  <c r="O16" i="2"/>
  <c r="O17" i="2"/>
  <c r="O18" i="2"/>
  <c r="O19" i="2"/>
  <c r="O20" i="2"/>
  <c r="O21" i="2"/>
  <c r="O22" i="2"/>
  <c r="O23" i="2"/>
  <c r="O24" i="2"/>
  <c r="O3" i="2"/>
  <c r="O4" i="2"/>
  <c r="O5" i="2"/>
  <c r="O7" i="2"/>
  <c r="O8" i="2"/>
  <c r="O9" i="2"/>
  <c r="O10" i="2"/>
  <c r="O2" i="2"/>
  <c r="AI15" i="15"/>
  <c r="AE15" i="15"/>
  <c r="AA15" i="15"/>
  <c r="W15" i="15"/>
  <c r="S15" i="15"/>
  <c r="O15" i="15"/>
  <c r="K15" i="15"/>
  <c r="G15" i="15"/>
  <c r="C15" i="15"/>
  <c r="F13" i="4"/>
  <c r="C13" i="4"/>
  <c r="W8" i="16" l="1"/>
  <c r="W9" i="16"/>
  <c r="W10" i="16"/>
  <c r="W11" i="16"/>
  <c r="W12" i="16"/>
  <c r="W13" i="16"/>
  <c r="W14" i="16"/>
  <c r="W15" i="16"/>
  <c r="W7" i="16"/>
  <c r="P7" i="16"/>
  <c r="AI21" i="15"/>
  <c r="AE21" i="15"/>
  <c r="AA21" i="15"/>
  <c r="W21" i="15"/>
  <c r="S21" i="15"/>
  <c r="O21" i="15"/>
  <c r="K21" i="15"/>
  <c r="G21" i="15"/>
  <c r="C21" i="15"/>
  <c r="C13" i="15"/>
  <c r="O8" i="17"/>
  <c r="P39" i="2"/>
  <c r="P28" i="2"/>
  <c r="P29" i="2"/>
  <c r="P30" i="2"/>
  <c r="P31" i="2"/>
  <c r="P32" i="2"/>
  <c r="P33" i="2"/>
  <c r="P34" i="2"/>
  <c r="P35" i="2"/>
  <c r="P36" i="2"/>
  <c r="P37" i="2"/>
  <c r="P27" i="2"/>
  <c r="P18" i="2"/>
  <c r="P19" i="2"/>
  <c r="P20" i="2"/>
  <c r="P21" i="2"/>
  <c r="P22" i="2"/>
  <c r="P23" i="2"/>
  <c r="P24" i="2"/>
  <c r="P17" i="2"/>
  <c r="P16" i="2"/>
  <c r="P3" i="2"/>
  <c r="P4" i="2"/>
  <c r="P5" i="2"/>
  <c r="P7" i="2"/>
  <c r="P8" i="2"/>
  <c r="P9" i="2"/>
  <c r="P10" i="2"/>
  <c r="P2" i="2"/>
  <c r="B23" i="4" l="1"/>
  <c r="B26" i="4"/>
  <c r="B14" i="4"/>
  <c r="B45" i="4"/>
  <c r="B44" i="4"/>
  <c r="B43" i="4"/>
  <c r="B42" i="4"/>
  <c r="C42" i="4" s="1"/>
  <c r="B41" i="4"/>
  <c r="B37" i="4"/>
  <c r="B36" i="4"/>
  <c r="B32" i="4"/>
  <c r="F33" i="4" s="1"/>
  <c r="B33" i="4"/>
  <c r="B28" i="4"/>
  <c r="B27" i="4"/>
  <c r="B24" i="4"/>
  <c r="B22" i="4"/>
  <c r="B21" i="4"/>
  <c r="C21" i="4" s="1"/>
  <c r="B16" i="4"/>
  <c r="C33" i="4" l="1"/>
  <c r="D23" i="12" l="1"/>
  <c r="E23" i="12" s="1"/>
  <c r="D24" i="12"/>
  <c r="E24" i="12" s="1"/>
  <c r="H81" i="11" s="1"/>
  <c r="G81" i="11" s="1"/>
  <c r="D25" i="12"/>
  <c r="E25" i="12" s="1"/>
  <c r="D26" i="12"/>
  <c r="E26" i="12" s="1"/>
  <c r="H83" i="11" s="1"/>
  <c r="G83" i="11" s="1"/>
  <c r="D27" i="12"/>
  <c r="D28" i="12"/>
  <c r="D29" i="12"/>
  <c r="D30" i="12"/>
  <c r="E30" i="12" s="1"/>
  <c r="H87" i="11" s="1"/>
  <c r="D22" i="12"/>
  <c r="E22" i="12" s="1"/>
  <c r="H79" i="11" s="1"/>
  <c r="E27" i="12"/>
  <c r="H84" i="11" s="1"/>
  <c r="G84" i="11" s="1"/>
  <c r="E28" i="12"/>
  <c r="H85" i="11" s="1"/>
  <c r="G85" i="11" s="1"/>
  <c r="E29" i="12"/>
  <c r="H86" i="11" s="1"/>
  <c r="G86" i="11" s="1"/>
  <c r="H82" i="11" l="1"/>
  <c r="K81" i="11"/>
  <c r="H80" i="11"/>
  <c r="K83" i="11"/>
  <c r="I84" i="11"/>
  <c r="J84" i="11"/>
  <c r="K84" i="11"/>
  <c r="K86" i="11"/>
  <c r="I86" i="11"/>
  <c r="J86" i="11"/>
  <c r="K85" i="11"/>
  <c r="I85" i="11"/>
  <c r="J85" i="11"/>
  <c r="J87" i="11"/>
  <c r="I87" i="11"/>
  <c r="K87" i="11"/>
  <c r="I83" i="11"/>
  <c r="J83" i="11"/>
  <c r="I81" i="11"/>
  <c r="J81" i="11"/>
  <c r="K80" i="11" l="1"/>
  <c r="G80" i="11"/>
  <c r="K82" i="11"/>
  <c r="G82" i="11"/>
  <c r="J82" i="11"/>
  <c r="I82" i="11"/>
  <c r="J80" i="11"/>
  <c r="I80" i="11"/>
  <c r="J79" i="11"/>
  <c r="K79" i="11"/>
  <c r="I79" i="11"/>
  <c r="X8" i="16" l="1"/>
  <c r="X9" i="16"/>
  <c r="X10" i="16"/>
  <c r="X11" i="16"/>
  <c r="X12" i="16"/>
  <c r="X13" i="16"/>
  <c r="X14" i="16"/>
  <c r="X15" i="16"/>
  <c r="X7" i="16"/>
  <c r="X16" i="16" l="1"/>
  <c r="O7" i="17" s="1"/>
  <c r="T4" i="11"/>
  <c r="S14" i="11" s="1"/>
  <c r="H33" i="17"/>
  <c r="H32" i="17"/>
  <c r="G13" i="17"/>
  <c r="G37" i="17"/>
  <c r="G35" i="17"/>
  <c r="G34" i="17"/>
  <c r="G33" i="17"/>
  <c r="G30" i="17"/>
  <c r="G29" i="17"/>
  <c r="G28" i="17"/>
  <c r="G27" i="17"/>
  <c r="G26" i="17"/>
  <c r="H37" i="17"/>
  <c r="H36" i="17"/>
  <c r="H35" i="17"/>
  <c r="H34" i="17"/>
  <c r="H31" i="17"/>
  <c r="H30" i="17"/>
  <c r="H29" i="17"/>
  <c r="H28" i="17"/>
  <c r="H26" i="17"/>
  <c r="S7" i="11" l="1"/>
  <c r="S10" i="11"/>
  <c r="T10" i="11" s="1"/>
  <c r="S9" i="11"/>
  <c r="S8" i="11"/>
  <c r="S12" i="11"/>
  <c r="U12" i="11" s="1"/>
  <c r="S11" i="11"/>
  <c r="N7" i="17"/>
  <c r="T5" i="11"/>
  <c r="U5" i="11"/>
  <c r="S6" i="11"/>
  <c r="H27" i="17"/>
  <c r="K4" i="8" s="1"/>
  <c r="X1" i="8" s="1"/>
  <c r="T7" i="11" l="1"/>
  <c r="U7" i="11"/>
  <c r="U10" i="11"/>
  <c r="U11" i="11" a="1"/>
  <c r="U11" i="11" s="1"/>
  <c r="T11" i="11"/>
  <c r="T12" i="11"/>
  <c r="U6" i="11"/>
  <c r="T6" i="11"/>
  <c r="B15" i="4" l="1"/>
  <c r="B8" i="4"/>
  <c r="B3" i="4"/>
  <c r="AJ8" i="15"/>
  <c r="AF8" i="15"/>
  <c r="AB8" i="15"/>
  <c r="X8" i="15"/>
  <c r="T8" i="15"/>
  <c r="P8" i="15"/>
  <c r="L8" i="15"/>
  <c r="H8" i="15"/>
  <c r="D8" i="15"/>
  <c r="AJ5" i="15" l="1"/>
  <c r="AF5" i="15"/>
  <c r="AB5" i="15"/>
  <c r="X5" i="15"/>
  <c r="T5" i="15"/>
  <c r="P5" i="15"/>
  <c r="L5" i="15"/>
  <c r="H5" i="15"/>
  <c r="D5" i="15"/>
  <c r="I46" i="11"/>
  <c r="J46" i="11"/>
  <c r="K46" i="11"/>
  <c r="I47" i="11"/>
  <c r="J47" i="11"/>
  <c r="K47" i="11"/>
  <c r="I48" i="11"/>
  <c r="J48" i="11"/>
  <c r="K48" i="11"/>
  <c r="I49" i="11"/>
  <c r="J49" i="11"/>
  <c r="K49" i="11"/>
  <c r="I50" i="11"/>
  <c r="J50" i="11"/>
  <c r="K50" i="11"/>
  <c r="I51" i="11"/>
  <c r="J51" i="11"/>
  <c r="K51" i="11"/>
  <c r="I52" i="11"/>
  <c r="J52" i="11"/>
  <c r="K52" i="11"/>
  <c r="I53" i="11"/>
  <c r="J53" i="11"/>
  <c r="K53" i="11"/>
  <c r="I54" i="11"/>
  <c r="J54" i="11"/>
  <c r="K54" i="11"/>
  <c r="I55" i="11"/>
  <c r="J55" i="11"/>
  <c r="K55" i="11"/>
  <c r="I56" i="11"/>
  <c r="J56" i="11"/>
  <c r="K56" i="11"/>
  <c r="I57" i="11"/>
  <c r="J57" i="11"/>
  <c r="K57" i="11"/>
  <c r="I58" i="11"/>
  <c r="J58" i="11"/>
  <c r="K58" i="11"/>
  <c r="I59" i="11"/>
  <c r="J59" i="11"/>
  <c r="K59" i="11"/>
  <c r="I60" i="11"/>
  <c r="J60" i="11"/>
  <c r="K60" i="11"/>
  <c r="H46" i="11"/>
  <c r="H47" i="11"/>
  <c r="H48" i="11"/>
  <c r="H49" i="11"/>
  <c r="H50" i="11"/>
  <c r="H51" i="11"/>
  <c r="H52" i="11"/>
  <c r="H53" i="11"/>
  <c r="H54" i="11"/>
  <c r="H55" i="11"/>
  <c r="H56" i="11"/>
  <c r="H57" i="11"/>
  <c r="H58" i="11"/>
  <c r="H59" i="11"/>
  <c r="H60" i="11"/>
  <c r="Q37" i="2"/>
  <c r="R37" i="2"/>
  <c r="Q36" i="2"/>
  <c r="R36" i="2"/>
  <c r="E14" i="12"/>
  <c r="H72" i="11" s="1"/>
  <c r="G72" i="11" s="1"/>
  <c r="E15" i="12"/>
  <c r="H73" i="11" s="1"/>
  <c r="E16" i="12"/>
  <c r="H74" i="11" s="1"/>
  <c r="G74" i="11" s="1"/>
  <c r="E17" i="12"/>
  <c r="H75" i="11" s="1"/>
  <c r="E18" i="12"/>
  <c r="H76" i="11" s="1"/>
  <c r="E19" i="12"/>
  <c r="H77" i="11" s="1"/>
  <c r="E20" i="12"/>
  <c r="E13" i="12"/>
  <c r="H71" i="11" s="1"/>
  <c r="G71" i="11" s="1"/>
  <c r="H78" i="11"/>
  <c r="E12" i="12"/>
  <c r="H70" i="11" s="1"/>
  <c r="G70" i="11" s="1"/>
  <c r="J4" i="8"/>
  <c r="I77" i="11" l="1"/>
  <c r="G77" i="11"/>
  <c r="K76" i="11"/>
  <c r="G76" i="11"/>
  <c r="K75" i="11"/>
  <c r="G75" i="11"/>
  <c r="J73" i="11"/>
  <c r="G73" i="11"/>
  <c r="I78" i="11"/>
  <c r="G78" i="11"/>
  <c r="K78" i="11"/>
  <c r="J76" i="11"/>
  <c r="I76" i="11"/>
  <c r="K74" i="11"/>
  <c r="I74" i="11"/>
  <c r="J74" i="11"/>
  <c r="I72" i="11"/>
  <c r="J72" i="11"/>
  <c r="I70" i="11"/>
  <c r="J70" i="11"/>
  <c r="K70" i="11"/>
  <c r="K71" i="11"/>
  <c r="J75" i="11"/>
  <c r="J78" i="11"/>
  <c r="I75" i="11"/>
  <c r="K73" i="11"/>
  <c r="I73" i="11"/>
  <c r="J71" i="11"/>
  <c r="I71" i="11"/>
  <c r="K72" i="11"/>
  <c r="K77" i="11"/>
  <c r="J77" i="11"/>
  <c r="F42" i="4" l="1"/>
  <c r="C4" i="15" l="1"/>
  <c r="D9" i="15"/>
  <c r="D11" i="15"/>
  <c r="C11" i="15" s="1"/>
  <c r="C12" i="15"/>
  <c r="C17" i="15"/>
  <c r="C18" i="15"/>
  <c r="C20" i="15"/>
  <c r="C22" i="15"/>
  <c r="AI4" i="15"/>
  <c r="AE4" i="15"/>
  <c r="AA4" i="15"/>
  <c r="W4" i="15"/>
  <c r="S4" i="15"/>
  <c r="O4" i="15"/>
  <c r="K4" i="15"/>
  <c r="G4" i="15"/>
  <c r="E24" i="4"/>
  <c r="C24" i="4" s="1"/>
  <c r="V8" i="16"/>
  <c r="V9" i="16"/>
  <c r="V10" i="16"/>
  <c r="V11" i="16"/>
  <c r="V12" i="16"/>
  <c r="V13" i="16"/>
  <c r="V14" i="16"/>
  <c r="V15" i="16"/>
  <c r="V7" i="16"/>
  <c r="O8" i="16"/>
  <c r="O9" i="16"/>
  <c r="O10" i="16"/>
  <c r="O11" i="16"/>
  <c r="O12" i="16"/>
  <c r="O13" i="16"/>
  <c r="Q13" i="16" s="1"/>
  <c r="L13" i="16" s="1"/>
  <c r="O14" i="16"/>
  <c r="O15" i="16"/>
  <c r="O7" i="16"/>
  <c r="P8" i="16"/>
  <c r="P9" i="16"/>
  <c r="P10" i="16"/>
  <c r="P11" i="16"/>
  <c r="P12" i="16"/>
  <c r="P13" i="16"/>
  <c r="P14" i="16"/>
  <c r="P15" i="16"/>
  <c r="I4" i="8"/>
  <c r="Q15" i="16" l="1"/>
  <c r="L15" i="16" s="1"/>
  <c r="Q10" i="16"/>
  <c r="L10" i="16" s="1"/>
  <c r="Q12" i="16"/>
  <c r="L12" i="16" s="1"/>
  <c r="Q8" i="16"/>
  <c r="L8" i="16" s="1"/>
  <c r="Q14" i="16"/>
  <c r="L14" i="16" s="1"/>
  <c r="Q11" i="16"/>
  <c r="L11" i="16" s="1"/>
  <c r="Q7" i="16"/>
  <c r="L7" i="16" s="1"/>
  <c r="Q9" i="16"/>
  <c r="L9" i="16" s="1"/>
  <c r="C19" i="15"/>
  <c r="F24" i="4"/>
  <c r="C9" i="15"/>
  <c r="C5" i="15"/>
  <c r="C23" i="15" l="1"/>
  <c r="C39" i="15" s="1"/>
  <c r="E8" i="15"/>
  <c r="E5" i="15" s="1"/>
  <c r="C8" i="15"/>
  <c r="R7" i="16"/>
  <c r="U7" i="16" s="1"/>
  <c r="R8" i="16" l="1"/>
  <c r="T7" i="16"/>
  <c r="S7" i="16"/>
  <c r="U8" i="16" l="1"/>
  <c r="T8" i="16"/>
  <c r="R9" i="16"/>
  <c r="S8" i="16"/>
  <c r="U9" i="16" l="1"/>
  <c r="R10" i="16"/>
  <c r="S9" i="16"/>
  <c r="T9" i="16"/>
  <c r="S10" i="16" l="1"/>
  <c r="T10" i="16"/>
  <c r="U10" i="16"/>
  <c r="R11" i="16"/>
  <c r="AI20" i="15"/>
  <c r="AE20" i="15"/>
  <c r="AA20" i="15"/>
  <c r="W20" i="15"/>
  <c r="S20" i="15"/>
  <c r="O20" i="15"/>
  <c r="K20" i="15"/>
  <c r="G20" i="15"/>
  <c r="E36" i="1"/>
  <c r="S11" i="16" l="1"/>
  <c r="T11" i="16"/>
  <c r="U11" i="16"/>
  <c r="R12" i="16"/>
  <c r="T12" i="16" l="1"/>
  <c r="U12" i="16"/>
  <c r="S12" i="16"/>
  <c r="R13" i="16"/>
  <c r="F4" i="8"/>
  <c r="H4" i="8"/>
  <c r="AI22" i="15"/>
  <c r="AI18" i="15"/>
  <c r="AI17" i="15"/>
  <c r="AI13" i="15"/>
  <c r="AI12" i="15"/>
  <c r="AJ11" i="15"/>
  <c r="AJ9" i="15"/>
  <c r="AE22" i="15"/>
  <c r="AE18" i="15"/>
  <c r="AE17" i="15"/>
  <c r="AE13" i="15"/>
  <c r="AE12" i="15"/>
  <c r="AF11" i="15"/>
  <c r="AF9" i="15"/>
  <c r="AA22" i="15"/>
  <c r="AA18" i="15"/>
  <c r="AA17" i="15"/>
  <c r="AA13" i="15"/>
  <c r="AA12" i="15"/>
  <c r="AB11" i="15"/>
  <c r="W22" i="15"/>
  <c r="W18" i="15"/>
  <c r="W17" i="15"/>
  <c r="W13" i="15"/>
  <c r="W12" i="15"/>
  <c r="X11" i="15"/>
  <c r="X9" i="15"/>
  <c r="S22" i="15"/>
  <c r="S18" i="15"/>
  <c r="S17" i="15"/>
  <c r="S13" i="15"/>
  <c r="S12" i="15"/>
  <c r="T11" i="15"/>
  <c r="O22" i="15"/>
  <c r="O18" i="15"/>
  <c r="O17" i="15"/>
  <c r="O13" i="15"/>
  <c r="O12" i="15"/>
  <c r="P11" i="15"/>
  <c r="P9" i="15"/>
  <c r="K22" i="15"/>
  <c r="K18" i="15"/>
  <c r="K17" i="15"/>
  <c r="K13" i="15"/>
  <c r="K12" i="15"/>
  <c r="L11" i="15"/>
  <c r="K11" i="15" s="1"/>
  <c r="L9" i="15"/>
  <c r="K9" i="15" s="1"/>
  <c r="G22" i="15"/>
  <c r="G18" i="15"/>
  <c r="G17" i="15"/>
  <c r="G13" i="15"/>
  <c r="G12" i="15"/>
  <c r="H11" i="15"/>
  <c r="H9" i="15"/>
  <c r="T13" i="16" l="1"/>
  <c r="S13" i="16"/>
  <c r="R14" i="16"/>
  <c r="U13" i="16"/>
  <c r="S5" i="15"/>
  <c r="T9" i="15"/>
  <c r="S9" i="15" s="1"/>
  <c r="AA5" i="15"/>
  <c r="AB9" i="15"/>
  <c r="AA9" i="15" s="1"/>
  <c r="AA19" i="15"/>
  <c r="AA23" i="15" s="1"/>
  <c r="O19" i="15"/>
  <c r="O23" i="15" s="1"/>
  <c r="AE19" i="15"/>
  <c r="AE23" i="15" s="1"/>
  <c r="W19" i="15"/>
  <c r="W23" i="15" s="1"/>
  <c r="S19" i="15"/>
  <c r="S23" i="15" s="1"/>
  <c r="K19" i="15"/>
  <c r="M8" i="15" s="1"/>
  <c r="M5" i="15" s="1"/>
  <c r="G19" i="15"/>
  <c r="AI19" i="15"/>
  <c r="AI23" i="15" s="1"/>
  <c r="AI9" i="15"/>
  <c r="AI11" i="15"/>
  <c r="AI5" i="15"/>
  <c r="AE9" i="15"/>
  <c r="AE11" i="15"/>
  <c r="AE5" i="15"/>
  <c r="AA11" i="15"/>
  <c r="W9" i="15"/>
  <c r="W11" i="15"/>
  <c r="W5" i="15"/>
  <c r="S11" i="15"/>
  <c r="O9" i="15"/>
  <c r="O11" i="15"/>
  <c r="O5" i="15"/>
  <c r="K5" i="15"/>
  <c r="K8" i="15" s="1"/>
  <c r="G9" i="15"/>
  <c r="G11" i="15"/>
  <c r="G5" i="15"/>
  <c r="C25" i="4"/>
  <c r="C3" i="4"/>
  <c r="C8" i="4"/>
  <c r="C14" i="4"/>
  <c r="F43" i="4"/>
  <c r="C43" i="4"/>
  <c r="F21" i="4"/>
  <c r="F14" i="4"/>
  <c r="F8" i="4"/>
  <c r="F3" i="4"/>
  <c r="AK8" i="15" l="1"/>
  <c r="AK5" i="15" s="1"/>
  <c r="O5" i="17"/>
  <c r="AG8" i="15"/>
  <c r="AG5" i="15" s="1"/>
  <c r="AC8" i="15"/>
  <c r="AC5" i="15" s="1"/>
  <c r="G23" i="15"/>
  <c r="Y8" i="15"/>
  <c r="Y5" i="15" s="1"/>
  <c r="U8" i="15"/>
  <c r="U5" i="15" s="1"/>
  <c r="Q8" i="15"/>
  <c r="Q5" i="15" s="1"/>
  <c r="I8" i="15"/>
  <c r="U14" i="16"/>
  <c r="T14" i="16"/>
  <c r="S14" i="16"/>
  <c r="R15" i="16"/>
  <c r="K23" i="15"/>
  <c r="M11" i="15" s="1"/>
  <c r="AI8" i="15"/>
  <c r="AG9" i="15"/>
  <c r="U9" i="15"/>
  <c r="AK11" i="15"/>
  <c r="AC11" i="15"/>
  <c r="AC9" i="15"/>
  <c r="Y11" i="15"/>
  <c r="Y9" i="15"/>
  <c r="S39" i="15"/>
  <c r="O39" i="15"/>
  <c r="Q11" i="15"/>
  <c r="Q9" i="15"/>
  <c r="AE8" i="15"/>
  <c r="AA8" i="15"/>
  <c r="Z38" i="15" s="1"/>
  <c r="AA39" i="15"/>
  <c r="W39" i="15"/>
  <c r="W8" i="15"/>
  <c r="S8" i="15"/>
  <c r="O8" i="15"/>
  <c r="G8" i="15"/>
  <c r="I5" i="15" l="1"/>
  <c r="I30" i="1"/>
  <c r="V38" i="15"/>
  <c r="N38" i="15"/>
  <c r="D28" i="1"/>
  <c r="G32" i="1"/>
  <c r="I27" i="1"/>
  <c r="D29" i="1"/>
  <c r="I32" i="1"/>
  <c r="U15" i="16"/>
  <c r="I35" i="1" s="1"/>
  <c r="S15" i="16"/>
  <c r="D30" i="1" s="1"/>
  <c r="T15" i="16"/>
  <c r="G35" i="1" s="1"/>
  <c r="G28" i="1"/>
  <c r="I28" i="1"/>
  <c r="I29" i="1"/>
  <c r="D27" i="1"/>
  <c r="G39" i="15"/>
  <c r="AG11" i="15"/>
  <c r="AE39" i="15"/>
  <c r="AD38" i="15"/>
  <c r="K39" i="15"/>
  <c r="U11" i="15"/>
  <c r="R38" i="15" s="1"/>
  <c r="M9" i="15"/>
  <c r="J38" i="15" s="1"/>
  <c r="I9" i="15"/>
  <c r="F38" i="15" s="1"/>
  <c r="I11" i="15"/>
  <c r="AK9" i="15"/>
  <c r="AH38" i="15" s="1"/>
  <c r="AI39" i="15"/>
  <c r="Q39" i="2"/>
  <c r="Q38" i="2"/>
  <c r="R27" i="2"/>
  <c r="R28" i="2"/>
  <c r="R29" i="2"/>
  <c r="R30" i="2"/>
  <c r="R31" i="2"/>
  <c r="R32" i="2"/>
  <c r="R33" i="2"/>
  <c r="Q27" i="2"/>
  <c r="Q28" i="2"/>
  <c r="Q29" i="2"/>
  <c r="Q30" i="2"/>
  <c r="Q31" i="2"/>
  <c r="Q32" i="2"/>
  <c r="Q33" i="2"/>
  <c r="Q34" i="2"/>
  <c r="B51" i="4"/>
  <c r="G27" i="1" l="1"/>
  <c r="G29" i="1"/>
  <c r="G30" i="1"/>
  <c r="G31" i="1"/>
  <c r="D31" i="1"/>
  <c r="I31" i="1"/>
  <c r="D32" i="1"/>
  <c r="D33" i="1"/>
  <c r="I33" i="1"/>
  <c r="G33" i="1"/>
  <c r="G34" i="1"/>
  <c r="D34" i="1"/>
  <c r="I34" i="1"/>
  <c r="D35" i="1"/>
  <c r="F25" i="4"/>
  <c r="E23" i="4" l="1"/>
  <c r="F23" i="4" l="1"/>
  <c r="C23" i="4"/>
  <c r="O27" i="1"/>
  <c r="X1" i="2"/>
  <c r="H3" i="11"/>
  <c r="K3" i="11" s="1"/>
  <c r="C3" i="11"/>
  <c r="R34" i="2"/>
  <c r="R35" i="2"/>
  <c r="Q35" i="2"/>
  <c r="AC1" i="8"/>
  <c r="O16" i="1"/>
  <c r="P16" i="1" s="1"/>
  <c r="Q16" i="1" s="1"/>
  <c r="E45" i="4"/>
  <c r="E44" i="4"/>
  <c r="E37" i="4"/>
  <c r="E36" i="4"/>
  <c r="C36" i="4" s="1"/>
  <c r="E35" i="4"/>
  <c r="C35" i="4" s="1"/>
  <c r="E32" i="4"/>
  <c r="E27" i="4"/>
  <c r="E26" i="4"/>
  <c r="E22" i="4"/>
  <c r="E16" i="4"/>
  <c r="E17" i="4"/>
  <c r="C17" i="4" s="1"/>
  <c r="E18" i="4"/>
  <c r="E19" i="4"/>
  <c r="E15" i="4"/>
  <c r="S24" i="2" l="1"/>
  <c r="S12" i="2"/>
  <c r="V12" i="2" s="1"/>
  <c r="S13" i="2"/>
  <c r="V13" i="2" s="1"/>
  <c r="S14" i="2"/>
  <c r="V14" i="2" s="1"/>
  <c r="S11" i="2"/>
  <c r="V11" i="2" s="1"/>
  <c r="S15" i="2"/>
  <c r="V15" i="2" s="1"/>
  <c r="F15" i="4"/>
  <c r="C15" i="4"/>
  <c r="C26" i="4"/>
  <c r="F26" i="4"/>
  <c r="C22" i="4"/>
  <c r="F22" i="4"/>
  <c r="C16" i="4"/>
  <c r="F16" i="4"/>
  <c r="S37" i="2"/>
  <c r="V37" i="2" s="1"/>
  <c r="S36" i="2"/>
  <c r="V36" i="2" s="1"/>
  <c r="R39" i="2"/>
  <c r="S22" i="2"/>
  <c r="S23" i="2"/>
  <c r="Q27" i="1"/>
  <c r="P27" i="1"/>
  <c r="F28" i="4"/>
  <c r="C28" i="4"/>
  <c r="C45" i="4"/>
  <c r="F45" i="4"/>
  <c r="C44" i="4"/>
  <c r="F44" i="4"/>
  <c r="C37" i="4"/>
  <c r="F37" i="4"/>
  <c r="F36" i="4"/>
  <c r="F35" i="4"/>
  <c r="O28" i="1"/>
  <c r="R38" i="2"/>
  <c r="S45" i="2"/>
  <c r="S10" i="2"/>
  <c r="V10" i="2" s="1"/>
  <c r="S28" i="2"/>
  <c r="V28" i="2" s="1"/>
  <c r="S38" i="2"/>
  <c r="S29" i="2"/>
  <c r="S4" i="2"/>
  <c r="S17" i="2"/>
  <c r="S2" i="2"/>
  <c r="V2" i="2" s="1"/>
  <c r="S5" i="2"/>
  <c r="V5" i="2" s="1"/>
  <c r="S21" i="2"/>
  <c r="S9" i="2"/>
  <c r="V9" i="2" s="1"/>
  <c r="S3" i="2"/>
  <c r="V3" i="2" s="1"/>
  <c r="J5" i="11" s="1"/>
  <c r="S16" i="2"/>
  <c r="S39" i="2"/>
  <c r="S30" i="2"/>
  <c r="V30" i="2" s="1"/>
  <c r="S18" i="2"/>
  <c r="S6" i="2"/>
  <c r="V6" i="2" s="1"/>
  <c r="S32" i="2"/>
  <c r="V32" i="2" s="1"/>
  <c r="S7" i="2"/>
  <c r="V7" i="2" s="1"/>
  <c r="S20" i="2"/>
  <c r="S33" i="2"/>
  <c r="V33" i="2" s="1"/>
  <c r="S8" i="2"/>
  <c r="S34" i="2"/>
  <c r="V34" i="2" s="1"/>
  <c r="S27" i="2"/>
  <c r="V27" i="2" s="1"/>
  <c r="K27" i="11" s="1"/>
  <c r="S19" i="2"/>
  <c r="S31" i="2"/>
  <c r="V31" i="2" s="1"/>
  <c r="S35" i="2"/>
  <c r="V35" i="2" s="1"/>
  <c r="I3" i="11"/>
  <c r="Y1" i="8"/>
  <c r="V40" i="2"/>
  <c r="V42" i="2"/>
  <c r="V41" i="2"/>
  <c r="J3" i="11"/>
  <c r="I13" i="11" l="1"/>
  <c r="J13" i="11"/>
  <c r="K13" i="11"/>
  <c r="H13" i="11"/>
  <c r="G13" i="11" s="1"/>
  <c r="H17" i="11"/>
  <c r="K17" i="11"/>
  <c r="J17" i="11"/>
  <c r="I17" i="11"/>
  <c r="H16" i="11"/>
  <c r="G16" i="11" s="1"/>
  <c r="K16" i="11"/>
  <c r="J16" i="11"/>
  <c r="I16" i="11"/>
  <c r="K15" i="11"/>
  <c r="I15" i="11"/>
  <c r="J15" i="11"/>
  <c r="H15" i="11"/>
  <c r="G15" i="11" s="1"/>
  <c r="I14" i="11"/>
  <c r="H14" i="11"/>
  <c r="G14" i="11" s="1"/>
  <c r="J14" i="11"/>
  <c r="K14" i="11"/>
  <c r="I40" i="11"/>
  <c r="J40" i="11"/>
  <c r="K40" i="11"/>
  <c r="H40" i="11"/>
  <c r="I41" i="11"/>
  <c r="J41" i="11"/>
  <c r="K41" i="11"/>
  <c r="H41" i="11"/>
  <c r="K42" i="11"/>
  <c r="I42" i="11"/>
  <c r="H42" i="11"/>
  <c r="J42" i="11"/>
  <c r="H37" i="11"/>
  <c r="G37" i="11" s="1"/>
  <c r="K37" i="11"/>
  <c r="J37" i="11"/>
  <c r="I37" i="11"/>
  <c r="H36" i="11"/>
  <c r="G36" i="11" s="1"/>
  <c r="J36" i="11"/>
  <c r="K36" i="11"/>
  <c r="I36" i="11"/>
  <c r="K30" i="11"/>
  <c r="I30" i="11"/>
  <c r="J30" i="11"/>
  <c r="H33" i="11"/>
  <c r="G33" i="11" s="1"/>
  <c r="J33" i="11"/>
  <c r="I33" i="11"/>
  <c r="K33" i="11"/>
  <c r="H28" i="11"/>
  <c r="G28" i="11" s="1"/>
  <c r="I28" i="11"/>
  <c r="J28" i="11"/>
  <c r="K28" i="11"/>
  <c r="I31" i="11"/>
  <c r="J31" i="11"/>
  <c r="K31" i="11"/>
  <c r="I34" i="11"/>
  <c r="J34" i="11"/>
  <c r="K34" i="11"/>
  <c r="H35" i="11"/>
  <c r="G35" i="11" s="1"/>
  <c r="K35" i="11"/>
  <c r="I35" i="11"/>
  <c r="J35" i="11"/>
  <c r="I32" i="11"/>
  <c r="J32" i="11"/>
  <c r="K32" i="11"/>
  <c r="H31" i="11"/>
  <c r="G31" i="11" s="1"/>
  <c r="H32" i="11"/>
  <c r="G32" i="11" s="1"/>
  <c r="H34" i="11"/>
  <c r="G34" i="11" s="1"/>
  <c r="H30" i="11"/>
  <c r="G30" i="11" s="1"/>
  <c r="V39" i="2"/>
  <c r="K11" i="11"/>
  <c r="J11" i="11"/>
  <c r="H11" i="11"/>
  <c r="G11" i="11" s="1"/>
  <c r="I11" i="11"/>
  <c r="H12" i="11"/>
  <c r="I12" i="11"/>
  <c r="K12" i="11"/>
  <c r="J12" i="11"/>
  <c r="V8" i="2"/>
  <c r="J10" i="11" s="1"/>
  <c r="V4" i="2"/>
  <c r="H6" i="11" s="1"/>
  <c r="Q28" i="1"/>
  <c r="P28" i="1"/>
  <c r="D55" i="4"/>
  <c r="M1" i="4" s="1"/>
  <c r="M2" i="4" s="1"/>
  <c r="F55" i="4"/>
  <c r="J4" i="11"/>
  <c r="H4" i="11"/>
  <c r="I27" i="11"/>
  <c r="J27" i="11"/>
  <c r="H27" i="11"/>
  <c r="G27" i="11" s="1"/>
  <c r="V38" i="2"/>
  <c r="O29" i="1"/>
  <c r="V43" i="2"/>
  <c r="K4" i="11"/>
  <c r="I4" i="11"/>
  <c r="V44" i="2"/>
  <c r="K5" i="11"/>
  <c r="V29" i="2"/>
  <c r="I9" i="11"/>
  <c r="K8" i="11"/>
  <c r="H5" i="11"/>
  <c r="I5" i="11"/>
  <c r="H7" i="11"/>
  <c r="K7" i="11"/>
  <c r="I7" i="11"/>
  <c r="J7" i="11"/>
  <c r="I43" i="11" l="1"/>
  <c r="J43" i="11"/>
  <c r="K43" i="11"/>
  <c r="H43" i="11"/>
  <c r="I44" i="11"/>
  <c r="J44" i="11"/>
  <c r="K44" i="11"/>
  <c r="H44" i="11"/>
  <c r="M3" i="4"/>
  <c r="H1" i="11"/>
  <c r="G1" i="11" s="1"/>
  <c r="H39" i="11"/>
  <c r="G39" i="11" s="1"/>
  <c r="I39" i="11"/>
  <c r="J39" i="11"/>
  <c r="K39" i="11"/>
  <c r="I38" i="11"/>
  <c r="J38" i="11"/>
  <c r="K38" i="11"/>
  <c r="H38" i="11"/>
  <c r="G38" i="11" s="1"/>
  <c r="I29" i="11"/>
  <c r="J29" i="11"/>
  <c r="K29" i="11"/>
  <c r="H29" i="11"/>
  <c r="G29" i="11" s="1"/>
  <c r="H2" i="11"/>
  <c r="J6" i="11"/>
  <c r="K10" i="11"/>
  <c r="I6" i="11"/>
  <c r="I10" i="11"/>
  <c r="H10" i="11"/>
  <c r="G10" i="11" s="1"/>
  <c r="K6" i="11"/>
  <c r="O30" i="1"/>
  <c r="P30" i="1" s="1"/>
  <c r="P29" i="1"/>
  <c r="Q29" i="1"/>
  <c r="K9" i="11"/>
  <c r="J9" i="11"/>
  <c r="H8" i="11"/>
  <c r="G8" i="11" s="1"/>
  <c r="I8" i="11"/>
  <c r="J8" i="11"/>
  <c r="H9" i="11"/>
  <c r="K1" i="11" l="1"/>
  <c r="I1" i="11"/>
  <c r="K2" i="11"/>
  <c r="G2" i="11"/>
  <c r="G3" i="11" s="1"/>
  <c r="G4" i="11" s="1"/>
  <c r="I2" i="11"/>
  <c r="J2" i="11" s="1"/>
  <c r="O31" i="1"/>
  <c r="P31" i="1" s="1"/>
  <c r="Q30" i="1"/>
  <c r="O32" i="1" l="1"/>
  <c r="P32" i="1" s="1"/>
  <c r="Q31" i="1"/>
  <c r="G5" i="11"/>
  <c r="G6" i="11" s="1"/>
  <c r="G7" i="11" s="1"/>
  <c r="G9" i="11" l="1"/>
  <c r="G12" i="11" s="1"/>
  <c r="G17" i="11" s="1"/>
  <c r="O33" i="1"/>
  <c r="P33" i="1" s="1"/>
  <c r="Q32" i="1"/>
  <c r="Q33" i="1" l="1"/>
  <c r="O34" i="1"/>
  <c r="P34" i="1" s="1"/>
  <c r="Q34" i="1" l="1"/>
  <c r="O35" i="1"/>
  <c r="Z18" i="2" s="1"/>
  <c r="E11" i="15" l="1"/>
  <c r="E9" i="15"/>
  <c r="Z13" i="2"/>
  <c r="AB13" i="2" s="1"/>
  <c r="B19" i="2" s="1"/>
  <c r="Q35" i="1"/>
  <c r="AA18" i="2" s="1"/>
  <c r="A24" i="2" s="1"/>
  <c r="Z1" i="15" s="1"/>
  <c r="AC55" i="15" s="1"/>
  <c r="Z19" i="2"/>
  <c r="AA19" i="2" s="1"/>
  <c r="A25" i="2" s="1"/>
  <c r="P35" i="1"/>
  <c r="AB18" i="2" s="1"/>
  <c r="B24" i="2" s="1"/>
  <c r="Z17" i="2"/>
  <c r="AB17" i="2" s="1"/>
  <c r="B23" i="2" s="1"/>
  <c r="Z15" i="2"/>
  <c r="AA15" i="2" s="1"/>
  <c r="A21" i="2" s="1"/>
  <c r="Z14" i="2"/>
  <c r="AB14" i="2" s="1"/>
  <c r="B20" i="2" s="1"/>
  <c r="Z16" i="2"/>
  <c r="AB16" i="2" s="1"/>
  <c r="B22" i="2" s="1"/>
  <c r="Z12" i="2"/>
  <c r="AB12" i="2" s="1"/>
  <c r="B18" i="2" s="1"/>
  <c r="Z20" i="2"/>
  <c r="AA20" i="2" s="1"/>
  <c r="A26" i="2" s="1"/>
  <c r="B38" i="15" l="1"/>
  <c r="AA4" i="2"/>
  <c r="AA7" i="2"/>
  <c r="AB7" i="2"/>
  <c r="Z7" i="2"/>
  <c r="A7" i="12" s="1"/>
  <c r="AB6" i="2"/>
  <c r="AA6" i="2"/>
  <c r="Z6" i="2"/>
  <c r="AB8" i="2"/>
  <c r="AA8" i="2"/>
  <c r="Z8" i="2"/>
  <c r="AA2" i="2"/>
  <c r="AA3" i="2"/>
  <c r="AB19" i="2"/>
  <c r="B25" i="2" s="1"/>
  <c r="AB20" i="2"/>
  <c r="B26" i="2" s="1"/>
  <c r="AA13" i="2"/>
  <c r="A19" i="2" s="1"/>
  <c r="H19" i="2" s="1"/>
  <c r="AB3" i="2" s="1"/>
  <c r="AA12" i="2"/>
  <c r="A18" i="2" s="1"/>
  <c r="Z2" i="2" s="1"/>
  <c r="A2" i="12" s="1"/>
  <c r="H24" i="2"/>
  <c r="G24" i="2"/>
  <c r="I24" i="2"/>
  <c r="C24" i="2"/>
  <c r="AC15" i="2" s="1"/>
  <c r="AE15" i="2" s="1"/>
  <c r="AA17" i="2"/>
  <c r="A23" i="2" s="1"/>
  <c r="V1" i="15" s="1"/>
  <c r="Y55" i="15" s="1"/>
  <c r="AA16" i="2"/>
  <c r="A22" i="2" s="1"/>
  <c r="G22" i="2" s="1"/>
  <c r="AB15" i="2"/>
  <c r="B21" i="2" s="1"/>
  <c r="AA14" i="2"/>
  <c r="A20" i="2" s="1"/>
  <c r="Z4" i="2" s="1"/>
  <c r="A4" i="12" s="1"/>
  <c r="C26" i="2"/>
  <c r="AC17" i="2" s="1"/>
  <c r="AE17" i="2" s="1"/>
  <c r="I26" i="2"/>
  <c r="G26" i="2"/>
  <c r="H26" i="2"/>
  <c r="H21" i="2"/>
  <c r="G21" i="2"/>
  <c r="C21" i="2"/>
  <c r="AC12" i="2" s="1"/>
  <c r="AE12" i="2" s="1"/>
  <c r="I21" i="2"/>
  <c r="AD1" i="15"/>
  <c r="AG55" i="15" s="1"/>
  <c r="C25" i="2"/>
  <c r="I25" i="2"/>
  <c r="H25" i="2"/>
  <c r="G25" i="2"/>
  <c r="AH1" i="15"/>
  <c r="AK55" i="15" s="1"/>
  <c r="N1" i="15"/>
  <c r="Q55" i="15" s="1"/>
  <c r="A8" i="12" l="1"/>
  <c r="E8" i="12" s="1"/>
  <c r="H67" i="11" s="1"/>
  <c r="G67" i="11" s="1"/>
  <c r="A6" i="12"/>
  <c r="E6" i="12" s="1"/>
  <c r="H65" i="11" s="1"/>
  <c r="G65" i="11" s="1"/>
  <c r="E4" i="12"/>
  <c r="H63" i="11" s="1"/>
  <c r="Z3" i="2"/>
  <c r="A3" i="12" s="1"/>
  <c r="E3" i="12" s="1"/>
  <c r="H62" i="11" s="1"/>
  <c r="AB9" i="2"/>
  <c r="Z9" i="2"/>
  <c r="AA9" i="2"/>
  <c r="E2" i="12"/>
  <c r="H61" i="11" s="1"/>
  <c r="AA5" i="2"/>
  <c r="Z5" i="2"/>
  <c r="AB5" i="2"/>
  <c r="Z10" i="2"/>
  <c r="A10" i="12" s="1"/>
  <c r="E10" i="12" s="1"/>
  <c r="H69" i="11" s="1"/>
  <c r="AA10" i="2"/>
  <c r="AB10" i="2"/>
  <c r="E7" i="12"/>
  <c r="H66" i="11" s="1"/>
  <c r="C19" i="2"/>
  <c r="AC10" i="2" s="1"/>
  <c r="F1" i="15"/>
  <c r="I55" i="15" s="1"/>
  <c r="B1" i="15"/>
  <c r="E55" i="15" s="1"/>
  <c r="I19" i="2"/>
  <c r="H23" i="2"/>
  <c r="G18" i="2"/>
  <c r="G19" i="2"/>
  <c r="C18" i="2"/>
  <c r="I18" i="2"/>
  <c r="H18" i="2"/>
  <c r="AB2" i="2" s="1"/>
  <c r="H20" i="2"/>
  <c r="AB4" i="2" s="1"/>
  <c r="J24" i="2"/>
  <c r="I20" i="2"/>
  <c r="J1" i="15"/>
  <c r="M55" i="15" s="1"/>
  <c r="H26" i="11"/>
  <c r="H22" i="2"/>
  <c r="I22" i="2"/>
  <c r="C22" i="2"/>
  <c r="AC13" i="2" s="1"/>
  <c r="AE13" i="2" s="1"/>
  <c r="R1" i="15"/>
  <c r="U55" i="15" s="1"/>
  <c r="C23" i="2"/>
  <c r="AC14" i="2" s="1"/>
  <c r="AE14" i="2" s="1"/>
  <c r="I23" i="2"/>
  <c r="G23" i="2"/>
  <c r="C20" i="2"/>
  <c r="AC11" i="2" s="1"/>
  <c r="AE11" i="2" s="1"/>
  <c r="G20" i="2"/>
  <c r="AD15" i="2"/>
  <c r="AF15" i="2" s="1"/>
  <c r="H24" i="11"/>
  <c r="J25" i="2"/>
  <c r="H21" i="11"/>
  <c r="J21" i="2"/>
  <c r="AC16" i="2"/>
  <c r="AE16" i="2" s="1"/>
  <c r="J26" i="2"/>
  <c r="AD17" i="2"/>
  <c r="AD12" i="2"/>
  <c r="K61" i="11" l="1"/>
  <c r="G61" i="11"/>
  <c r="I69" i="11"/>
  <c r="G69" i="11"/>
  <c r="I62" i="11"/>
  <c r="G62" i="11"/>
  <c r="I66" i="11"/>
  <c r="G66" i="11"/>
  <c r="K63" i="11"/>
  <c r="G63" i="11"/>
  <c r="O4" i="17"/>
  <c r="N4" i="17"/>
  <c r="K65" i="11"/>
  <c r="J65" i="11"/>
  <c r="I65" i="11"/>
  <c r="J67" i="11"/>
  <c r="K67" i="11"/>
  <c r="I67" i="11"/>
  <c r="A9" i="12"/>
  <c r="E9" i="12" s="1"/>
  <c r="H68" i="11" s="1"/>
  <c r="G68" i="11" s="1"/>
  <c r="A5" i="12"/>
  <c r="E5" i="12" s="1"/>
  <c r="H64" i="11" s="1"/>
  <c r="G64" i="11" s="1"/>
  <c r="H19" i="11"/>
  <c r="AE10" i="2"/>
  <c r="AC9" i="2"/>
  <c r="AE9" i="2" s="1"/>
  <c r="Q24" i="2"/>
  <c r="U24" i="2" s="1"/>
  <c r="T24" i="2"/>
  <c r="J63" i="11"/>
  <c r="I63" i="11"/>
  <c r="J61" i="11"/>
  <c r="I61" i="11"/>
  <c r="J62" i="11"/>
  <c r="K62" i="11"/>
  <c r="J69" i="11"/>
  <c r="K69" i="11"/>
  <c r="K66" i="11"/>
  <c r="J66" i="11"/>
  <c r="AD10" i="2"/>
  <c r="J22" i="2"/>
  <c r="AD14" i="2"/>
  <c r="J20" i="2"/>
  <c r="J19" i="2"/>
  <c r="R23" i="2" s="1"/>
  <c r="V23" i="2" s="1"/>
  <c r="J18" i="2"/>
  <c r="R22" i="2" s="1"/>
  <c r="V22" i="2" s="1"/>
  <c r="J23" i="2"/>
  <c r="H23" i="11"/>
  <c r="H22" i="11"/>
  <c r="AD13" i="2"/>
  <c r="AF13" i="2" s="1"/>
  <c r="Q20" i="2"/>
  <c r="U20" i="2" s="1"/>
  <c r="T16" i="2"/>
  <c r="T17" i="2"/>
  <c r="Q21" i="2"/>
  <c r="U21" i="2" s="1"/>
  <c r="Q23" i="2"/>
  <c r="U23" i="2" s="1"/>
  <c r="Q19" i="2"/>
  <c r="U19" i="2" s="1"/>
  <c r="Q22" i="2"/>
  <c r="U22" i="2" s="1"/>
  <c r="T21" i="2"/>
  <c r="T23" i="2"/>
  <c r="T20" i="2"/>
  <c r="Q17" i="2"/>
  <c r="U17" i="2" s="1"/>
  <c r="T22" i="2"/>
  <c r="Q18" i="2"/>
  <c r="U18" i="2" s="1"/>
  <c r="T19" i="2"/>
  <c r="T18" i="2"/>
  <c r="Q16" i="2"/>
  <c r="U16" i="2" s="1"/>
  <c r="R19" i="2"/>
  <c r="V19" i="2" s="1"/>
  <c r="R17" i="2"/>
  <c r="V17" i="2" s="1"/>
  <c r="AD16" i="2"/>
  <c r="AF16" i="2" s="1"/>
  <c r="H25" i="11"/>
  <c r="I21" i="11"/>
  <c r="H20" i="11"/>
  <c r="AD11" i="2"/>
  <c r="AF11" i="2" s="1"/>
  <c r="AF17" i="2"/>
  <c r="AF12" i="2"/>
  <c r="K21" i="11" s="1"/>
  <c r="J21" i="11"/>
  <c r="J20" i="11" l="1"/>
  <c r="U8" i="11"/>
  <c r="T8" i="11"/>
  <c r="R20" i="2"/>
  <c r="V20" i="2" s="1"/>
  <c r="R21" i="2"/>
  <c r="V21" i="2" s="1"/>
  <c r="R16" i="2"/>
  <c r="V16" i="2" s="1"/>
  <c r="R24" i="2"/>
  <c r="V24" i="2" s="1"/>
  <c r="K64" i="11"/>
  <c r="J64" i="11"/>
  <c r="I64" i="11"/>
  <c r="J68" i="11"/>
  <c r="I68" i="11"/>
  <c r="K68" i="11"/>
  <c r="J19" i="11"/>
  <c r="R45" i="2"/>
  <c r="N6" i="17" s="1"/>
  <c r="T9" i="11" s="1"/>
  <c r="I19" i="11"/>
  <c r="H18" i="11"/>
  <c r="G18" i="11" s="1"/>
  <c r="AD9" i="2"/>
  <c r="AF9" i="2" s="1"/>
  <c r="R18" i="2"/>
  <c r="V18" i="2" s="1"/>
  <c r="AF10" i="2"/>
  <c r="K19" i="11" s="1"/>
  <c r="AF14" i="2"/>
  <c r="I22" i="11"/>
  <c r="K22" i="11"/>
  <c r="J22" i="11"/>
  <c r="I20" i="11"/>
  <c r="K20" i="11"/>
  <c r="G19" i="11" l="1"/>
  <c r="T14" i="11"/>
  <c r="V45" i="2"/>
  <c r="H45" i="11" s="1"/>
  <c r="J18" i="11"/>
  <c r="K18" i="11"/>
  <c r="I18" i="11"/>
  <c r="J23" i="11"/>
  <c r="I23" i="11"/>
  <c r="K23" i="11"/>
  <c r="J24" i="11"/>
  <c r="I24" i="11"/>
  <c r="K24" i="11"/>
  <c r="J26" i="11"/>
  <c r="I26" i="11"/>
  <c r="K26" i="11"/>
  <c r="I25" i="11"/>
  <c r="J25" i="11"/>
  <c r="K25" i="11"/>
  <c r="G20" i="11" l="1"/>
  <c r="G21" i="11" s="1"/>
  <c r="I45" i="11"/>
  <c r="K45" i="11"/>
  <c r="J45" i="11"/>
  <c r="O6" i="17"/>
  <c r="G22" i="11" l="1"/>
  <c r="U9" i="11"/>
  <c r="U14" i="11" s="1"/>
  <c r="H5" i="17"/>
  <c r="G5" i="17"/>
  <c r="G23" i="11" l="1"/>
  <c r="G24" i="11" l="1"/>
  <c r="G25" i="11" s="1"/>
  <c r="G26" i="11" s="1"/>
  <c r="G45" i="11" l="1"/>
  <c r="G79" i="11" l="1"/>
  <c r="G87" i="11" l="1"/>
  <c r="M1" i="11" s="1"/>
  <c r="A6" i="11" s="1"/>
  <c r="E6" i="11" s="1"/>
  <c r="C6" i="11" l="1"/>
  <c r="J1" i="11"/>
  <c r="D6" i="11" s="1"/>
  <c r="B6" i="11"/>
  <c r="A7" i="11"/>
  <c r="D7" i="11" l="1"/>
  <c r="E7" i="11"/>
  <c r="B7" i="11"/>
  <c r="C7" i="11"/>
  <c r="A8" i="11"/>
  <c r="D8" i="11" l="1"/>
  <c r="E8" i="11"/>
  <c r="B8" i="11"/>
  <c r="C8" i="11"/>
  <c r="A9" i="11"/>
  <c r="D9" i="11" l="1"/>
  <c r="E9" i="11"/>
  <c r="B9" i="11"/>
  <c r="C9" i="11"/>
  <c r="A10" i="11"/>
  <c r="D10" i="11" l="1"/>
  <c r="E10" i="11"/>
  <c r="B10" i="11"/>
  <c r="C10" i="11"/>
  <c r="A11" i="11"/>
  <c r="D11" i="11" l="1"/>
  <c r="E11" i="11"/>
  <c r="B11" i="11"/>
  <c r="C11" i="11"/>
  <c r="A12" i="11"/>
  <c r="D12" i="11" l="1"/>
  <c r="E12" i="11"/>
  <c r="B12" i="11"/>
  <c r="C12" i="11"/>
  <c r="A13" i="11"/>
  <c r="D13" i="11" l="1"/>
  <c r="E13" i="11"/>
  <c r="B13" i="11"/>
  <c r="C13" i="11"/>
  <c r="A14" i="11"/>
  <c r="D14" i="11" l="1"/>
  <c r="E14" i="11"/>
  <c r="B14" i="11"/>
  <c r="C14" i="11"/>
  <c r="A15" i="11"/>
  <c r="D15" i="11" l="1"/>
  <c r="E15" i="11"/>
  <c r="B15" i="11"/>
  <c r="C15" i="11"/>
  <c r="A16" i="11"/>
  <c r="D16" i="11" l="1"/>
  <c r="E16" i="11"/>
  <c r="B16" i="11"/>
  <c r="C16" i="11"/>
  <c r="A17" i="11"/>
  <c r="D17" i="11" l="1"/>
  <c r="E17" i="11"/>
  <c r="B17" i="11"/>
  <c r="C17" i="11"/>
  <c r="A18" i="11"/>
  <c r="D18" i="11" l="1"/>
  <c r="E18" i="11"/>
  <c r="B18" i="11"/>
  <c r="C18" i="11"/>
  <c r="A19" i="11"/>
  <c r="D19" i="11" l="1"/>
  <c r="E19" i="11"/>
  <c r="B19" i="11"/>
  <c r="C19" i="11"/>
  <c r="A20" i="11"/>
  <c r="D20" i="11" l="1"/>
  <c r="E20" i="11"/>
  <c r="B20" i="11"/>
  <c r="C20" i="11"/>
  <c r="A21" i="11"/>
  <c r="D21" i="11" l="1"/>
  <c r="E21" i="11"/>
  <c r="B21" i="11"/>
  <c r="C21" i="11"/>
  <c r="A22" i="11"/>
  <c r="D22" i="11" l="1"/>
  <c r="E22" i="11"/>
  <c r="B22" i="11"/>
  <c r="C22" i="11"/>
  <c r="A23" i="11"/>
  <c r="D23" i="11" l="1"/>
  <c r="E23" i="11"/>
  <c r="B23" i="11"/>
  <c r="C23" i="11"/>
  <c r="A24" i="11"/>
  <c r="D24" i="11" l="1"/>
  <c r="E24" i="11"/>
  <c r="B24" i="11"/>
  <c r="C24" i="11"/>
  <c r="A25" i="11"/>
  <c r="D25" i="11" l="1"/>
  <c r="E25" i="11"/>
  <c r="B25" i="11"/>
  <c r="C25" i="11"/>
  <c r="A26" i="11"/>
  <c r="D26" i="11" l="1"/>
  <c r="E26" i="11"/>
  <c r="B26" i="11"/>
  <c r="C26" i="11"/>
  <c r="A27" i="11"/>
  <c r="D27" i="11" l="1"/>
  <c r="E27" i="11"/>
  <c r="B27" i="11"/>
  <c r="C27" i="11"/>
  <c r="A28" i="11"/>
  <c r="D28" i="11" l="1"/>
  <c r="E28" i="11"/>
  <c r="B28" i="11"/>
  <c r="C28" i="11"/>
  <c r="A29" i="11"/>
  <c r="D29" i="11" l="1"/>
  <c r="E29" i="11"/>
  <c r="B29" i="11"/>
  <c r="C29" i="11"/>
  <c r="A30" i="11"/>
  <c r="D30" i="11" l="1"/>
  <c r="E30" i="11"/>
  <c r="B30" i="11"/>
  <c r="C30" i="11"/>
  <c r="A31" i="11"/>
  <c r="D31" i="11" l="1"/>
  <c r="E31" i="11"/>
  <c r="B31" i="11"/>
  <c r="C31" i="11"/>
  <c r="A32" i="11"/>
  <c r="D32" i="11" l="1"/>
  <c r="E32" i="11"/>
  <c r="B32" i="11"/>
  <c r="C32" i="11"/>
  <c r="A33" i="11"/>
  <c r="D33" i="11" l="1"/>
  <c r="E33" i="11"/>
  <c r="B33" i="11"/>
  <c r="C33" i="11"/>
  <c r="A34" i="11"/>
  <c r="D34" i="11" l="1"/>
  <c r="E34" i="11"/>
  <c r="B34" i="11"/>
  <c r="C34" i="11"/>
  <c r="A35" i="11"/>
  <c r="D35" i="11" l="1"/>
  <c r="E35" i="11"/>
  <c r="B35" i="11"/>
  <c r="C35" i="11"/>
  <c r="A36" i="11"/>
  <c r="D36" i="11" l="1"/>
  <c r="E36" i="11"/>
  <c r="B36" i="11"/>
  <c r="C36" i="11"/>
  <c r="A37" i="11"/>
  <c r="D37" i="11" l="1"/>
  <c r="E37" i="11"/>
  <c r="B37" i="11"/>
  <c r="C37" i="11"/>
  <c r="A38" i="11"/>
  <c r="D38" i="11" l="1"/>
  <c r="E38" i="11"/>
  <c r="B38" i="11"/>
  <c r="C38" i="11"/>
  <c r="A39" i="11"/>
  <c r="D39" i="11" l="1"/>
  <c r="E39" i="11"/>
  <c r="B39" i="11"/>
  <c r="C39" i="11"/>
  <c r="A40" i="11"/>
  <c r="D40" i="11" l="1"/>
  <c r="E40" i="11"/>
  <c r="B40" i="11"/>
  <c r="C40" i="11"/>
  <c r="A41" i="11"/>
  <c r="D41" i="11" l="1"/>
  <c r="E41" i="11"/>
  <c r="B41" i="11"/>
  <c r="C41" i="11"/>
  <c r="A42" i="11"/>
  <c r="D42" i="11" l="1"/>
  <c r="E42" i="11"/>
  <c r="B42" i="11"/>
  <c r="C42" i="11"/>
  <c r="A43" i="11"/>
  <c r="D43" i="11" l="1"/>
  <c r="E43" i="11"/>
  <c r="B43" i="11"/>
  <c r="C43" i="11"/>
  <c r="A44" i="11"/>
  <c r="D44" i="11" l="1"/>
  <c r="E44" i="11"/>
  <c r="B44" i="11"/>
  <c r="C44" i="11"/>
  <c r="A45" i="11"/>
  <c r="D45" i="11" l="1"/>
  <c r="E45" i="11"/>
  <c r="B45" i="11"/>
  <c r="C45" i="11"/>
  <c r="A46" i="11"/>
  <c r="D46" i="11" l="1"/>
  <c r="E46" i="11"/>
  <c r="B46" i="11"/>
  <c r="C46" i="11"/>
  <c r="A47" i="11"/>
  <c r="D47" i="11" l="1"/>
  <c r="E47" i="11"/>
  <c r="B47" i="11"/>
  <c r="C47" i="11"/>
  <c r="A48" i="11"/>
  <c r="D48" i="11" l="1"/>
  <c r="E48" i="11"/>
  <c r="B48" i="11"/>
  <c r="C48" i="11"/>
  <c r="A49" i="11"/>
  <c r="D49" i="11" l="1"/>
  <c r="E49" i="11"/>
  <c r="B49" i="11"/>
  <c r="C49" i="11"/>
  <c r="A50" i="11"/>
  <c r="D50" i="11" l="1"/>
  <c r="E50" i="11"/>
  <c r="B50" i="11"/>
  <c r="C50" i="11"/>
  <c r="A51" i="11"/>
  <c r="D51" i="11" l="1"/>
  <c r="E51" i="11"/>
  <c r="B51" i="11"/>
  <c r="C51" i="11"/>
  <c r="A52" i="11"/>
  <c r="D52" i="11" l="1"/>
  <c r="E52" i="11"/>
  <c r="E3" i="11" s="1"/>
  <c r="B52" i="11"/>
  <c r="C52" i="11"/>
  <c r="A53" i="11"/>
  <c r="B53" i="11" s="1"/>
  <c r="A54" i="11" l="1"/>
  <c r="B54" i="11" s="1"/>
  <c r="A55" i="11" l="1"/>
  <c r="B55" i="11" s="1"/>
  <c r="A56" i="11" l="1"/>
  <c r="B56" i="11" s="1"/>
  <c r="A57" i="11" l="1"/>
  <c r="B57" i="11" s="1"/>
  <c r="A58" i="11" l="1"/>
  <c r="B58" i="11" s="1"/>
  <c r="A59" i="11" l="1"/>
  <c r="B59" i="11" s="1"/>
  <c r="A60" i="11" l="1"/>
  <c r="B60" i="11" s="1"/>
  <c r="A61" i="11" l="1"/>
  <c r="B61" i="11" s="1"/>
  <c r="A62" i="11" l="1"/>
  <c r="B62" i="11" s="1"/>
  <c r="A63" i="11" l="1"/>
  <c r="B63" i="11" s="1"/>
  <c r="A64" i="11" l="1"/>
  <c r="B64" i="11" s="1"/>
  <c r="A65" i="11" l="1"/>
  <c r="B65" i="11" s="1"/>
  <c r="A66" i="11" l="1"/>
  <c r="B66" i="11" s="1"/>
  <c r="A67" i="11" l="1"/>
  <c r="B67" i="11" s="1"/>
  <c r="A68" i="11" l="1"/>
  <c r="B68" i="11" s="1"/>
  <c r="A69" i="11" l="1"/>
  <c r="B69" i="11" s="1"/>
  <c r="A70" i="11" l="1"/>
  <c r="B70" i="11" s="1"/>
  <c r="A71" i="11" l="1"/>
  <c r="B71" i="11" s="1"/>
  <c r="A72" i="11" l="1"/>
  <c r="B72" i="11" s="1"/>
  <c r="A73" i="11" l="1"/>
  <c r="B73" i="11" s="1"/>
  <c r="A74" i="11" l="1"/>
  <c r="B74" i="11" s="1"/>
  <c r="A75" i="11" l="1"/>
  <c r="B75" i="11" s="1"/>
  <c r="A76" i="11" l="1"/>
  <c r="B76" i="11" s="1"/>
  <c r="A77" i="11" l="1"/>
  <c r="B77" i="11" s="1"/>
  <c r="A78" i="11" l="1"/>
  <c r="B78" i="11" s="1"/>
  <c r="A79" i="11" l="1"/>
  <c r="B79" i="11" s="1"/>
  <c r="A80" i="11" l="1"/>
  <c r="B80" i="11" s="1"/>
  <c r="A81" i="11" l="1"/>
  <c r="B81" i="11" s="1"/>
  <c r="A82" i="11" l="1"/>
  <c r="B82" i="11" s="1"/>
  <c r="A83" i="11" l="1"/>
  <c r="B83" i="11" s="1"/>
  <c r="A84" i="11" l="1"/>
  <c r="B84" i="11" s="1"/>
  <c r="A85" i="11" l="1"/>
  <c r="B85" i="11" s="1"/>
  <c r="A86" i="11" l="1"/>
  <c r="B86" i="11" s="1"/>
  <c r="A87" i="11" l="1"/>
  <c r="B87" i="11" s="1"/>
  <c r="A88" i="11" l="1"/>
  <c r="B88" i="11" s="1"/>
  <c r="A89" i="11" l="1"/>
  <c r="B89" i="11" s="1"/>
  <c r="A90" i="11" l="1"/>
  <c r="B90" i="11" s="1"/>
  <c r="A91" i="11" l="1"/>
  <c r="B91" i="11" s="1"/>
  <c r="A92" i="11" l="1"/>
  <c r="B92" i="11" s="1"/>
  <c r="A93" i="11" l="1"/>
  <c r="B93" i="11" s="1"/>
  <c r="A94" i="11" l="1"/>
  <c r="B94" i="11" s="1"/>
  <c r="A95" i="11" l="1"/>
  <c r="B95" i="11" s="1"/>
  <c r="A96" i="11" l="1"/>
  <c r="B96" i="11" s="1"/>
  <c r="A97" i="11" l="1"/>
  <c r="B97" i="11" s="1"/>
  <c r="A98" i="11" l="1"/>
  <c r="B98" i="11" s="1"/>
  <c r="A99" i="11" l="1"/>
  <c r="B99" i="11" s="1"/>
  <c r="A100" i="11" l="1"/>
  <c r="B100"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<sst xmlns="http://schemas.openxmlformats.org/spreadsheetml/2006/main" count="540" uniqueCount="361">
  <si>
    <t># of Subjects planned</t>
  </si>
  <si>
    <t>Over what time period?</t>
  </si>
  <si>
    <t>Locations where patients will be dosed (or seen to provide take-home medications):</t>
  </si>
  <si>
    <t>Other:</t>
  </si>
  <si>
    <t>IRB # or IACUC # (if known)</t>
  </si>
  <si>
    <t>Funding Sponsor</t>
  </si>
  <si>
    <t>Regulatory Sponsor (if different)</t>
  </si>
  <si>
    <t>Given at what visits?</t>
  </si>
  <si>
    <t>Special Services</t>
  </si>
  <si>
    <t>PennIDS@pennmedicine.upenn.edu</t>
  </si>
  <si>
    <t>IDSNorth@pennmedicine.upenn.edu</t>
  </si>
  <si>
    <t>PROTOCOL COVER SHEET</t>
  </si>
  <si>
    <t>Protocol (short title):</t>
  </si>
  <si>
    <t>Investigator:</t>
  </si>
  <si>
    <t>Please include PROTOCOL, PHARMACY MANUAL (if applicable) and any other details/instructions that you feel are relevant in determining costs and feasibility.</t>
  </si>
  <si>
    <t>Tell us about the study:</t>
  </si>
  <si>
    <t xml:space="preserve">    Department:</t>
  </si>
  <si>
    <t>-</t>
  </si>
  <si>
    <r>
      <rPr>
        <sz val="11"/>
        <color theme="10"/>
        <rFont val="Calibri"/>
        <family val="2"/>
        <scheme val="minor"/>
      </rPr>
      <t xml:space="preserve">    </t>
    </r>
    <r>
      <rPr>
        <u/>
        <sz val="11"/>
        <color theme="10"/>
        <rFont val="Calibri"/>
        <family val="2"/>
        <scheme val="minor"/>
      </rPr>
      <t>www.itmat.upenn.edu/ids.shtml</t>
    </r>
  </si>
  <si>
    <t>Inpatient:</t>
  </si>
  <si>
    <t>What inpatient unit(s)?</t>
  </si>
  <si>
    <t xml:space="preserve">CHPS Research Units: </t>
  </si>
  <si>
    <t>Service</t>
  </si>
  <si>
    <t>Quantity</t>
  </si>
  <si>
    <t>Instructions</t>
  </si>
  <si>
    <t>Field</t>
  </si>
  <si>
    <t>Contribution to Cost</t>
  </si>
  <si>
    <t>Protocol Review (1 to 5 scale for complexity) - MANDATORY for all trials</t>
  </si>
  <si>
    <t>Dispensing Procedure Creation (enter study complexity as a range of 1 (v simple) to 5 (complicated multiple meds))</t>
  </si>
  <si>
    <t>Staff Training on new study</t>
  </si>
  <si>
    <t xml:space="preserve">Use of CONTROLLED SUBSTANCES </t>
  </si>
  <si>
    <t>BEACON build</t>
  </si>
  <si>
    <t>Simple EPIC outpatient build</t>
  </si>
  <si>
    <t>Will study drug be provided to the IDS?*</t>
  </si>
  <si>
    <t>Will placebo be provided to the IDS?*</t>
  </si>
  <si>
    <t>Will you need randomization tables created?*</t>
  </si>
  <si>
    <t>Does sponsor require 'IVRS' training or 'GCP training' (sponsor-specific) before study launch?*</t>
  </si>
  <si>
    <t>Will study involve routine sponsored monitoring visits?</t>
  </si>
  <si>
    <t>Will the sponsor conduct an SIV prior to study launch?</t>
  </si>
  <si>
    <t xml:space="preserve">Do you need IDS to formulate blinded dosage forms for your trial? </t>
  </si>
  <si>
    <t>Special services (describe)</t>
  </si>
  <si>
    <t>Protocols involving inpatients at HUP or PPMC</t>
  </si>
  <si>
    <t>If YES: Is the study medication currently NOT marketed in the US for any other indication?</t>
  </si>
  <si>
    <t>Choose YES for ONLY ONE of the following:</t>
  </si>
  <si>
    <t>Does the protocol include always starting weekdays, though treatment may continue on weekends?</t>
  </si>
  <si>
    <t>Protocols involving multiple sites</t>
  </si>
  <si>
    <t>Does the project require sending product to other clinical sites (other investigators)?* (If NO: skip following 4 questions)</t>
  </si>
  <si>
    <t>If YES: how many other sites are planned?</t>
  </si>
  <si>
    <t xml:space="preserve">Enter actual # of sites IDS would be responsible for shipping to on a regular basis.  </t>
  </si>
  <si>
    <t>If YES: Are there international sites?</t>
  </si>
  <si>
    <t>If YES: Will you need a pharmacy manual or records created for other sites to use?</t>
  </si>
  <si>
    <t>If YES: Do you need IDS to attend or present to site staff at an investigator meeting? Or provide site training by Webinar?</t>
  </si>
  <si>
    <t>Relevant Cost Variables</t>
  </si>
  <si>
    <t>Variable</t>
  </si>
  <si>
    <t>Cost</t>
  </si>
  <si>
    <t>Pharmacist hourly rate</t>
  </si>
  <si>
    <t>Note any updates to these figures will auto-apply to</t>
  </si>
  <si>
    <t>Technician hourly rate</t>
  </si>
  <si>
    <t>all calculations above.  Pharmacist rate should match the</t>
  </si>
  <si>
    <t>Site set up fee</t>
  </si>
  <si>
    <t>Clinical Service Fee rate in Vestigo®.</t>
  </si>
  <si>
    <t>Total Cost:</t>
  </si>
  <si>
    <t>Yes or No</t>
  </si>
  <si>
    <t>Yes</t>
  </si>
  <si>
    <t>No</t>
  </si>
  <si>
    <t>Please refer to instructions for each section and enter value</t>
  </si>
  <si>
    <r>
      <rPr>
        <b/>
        <sz val="11"/>
        <rFont val="Calibri"/>
        <family val="2"/>
        <scheme val="minor"/>
      </rPr>
      <t>0</t>
    </r>
    <r>
      <rPr>
        <sz val="11"/>
        <rFont val="Calibri"/>
        <family val="2"/>
        <scheme val="minor"/>
      </rPr>
      <t xml:space="preserve"> for NO, </t>
    </r>
    <r>
      <rPr>
        <b/>
        <sz val="11"/>
        <rFont val="Calibri"/>
        <family val="2"/>
        <scheme val="minor"/>
      </rPr>
      <t>1</t>
    </r>
    <r>
      <rPr>
        <sz val="11"/>
        <rFont val="Calibri"/>
        <family val="2"/>
        <scheme val="minor"/>
      </rPr>
      <t xml:space="preserve"> for light monitoring (eg. sponsor or OCR visit once/year), </t>
    </r>
    <r>
      <rPr>
        <b/>
        <sz val="11"/>
        <rFont val="Calibri"/>
        <family val="2"/>
        <scheme val="minor"/>
      </rPr>
      <t>2</t>
    </r>
    <r>
      <rPr>
        <sz val="11"/>
        <rFont val="Calibri"/>
        <family val="2"/>
        <scheme val="minor"/>
      </rPr>
      <t xml:space="preserve"> for pharma/CRO monitoring multiple times/year, </t>
    </r>
    <r>
      <rPr>
        <b/>
        <sz val="11"/>
        <rFont val="Calibri"/>
        <family val="2"/>
        <scheme val="minor"/>
      </rPr>
      <t>3</t>
    </r>
    <r>
      <rPr>
        <sz val="11"/>
        <rFont val="Calibri"/>
        <family val="2"/>
        <scheme val="minor"/>
      </rPr>
      <t xml:space="preserve"> for intense monitoring (such as DAIDS quarterly full-day visits).</t>
    </r>
  </si>
  <si>
    <t>If YES to blinded dosage forms: How many different medications/strengths?</t>
  </si>
  <si>
    <r>
      <rPr>
        <b/>
        <sz val="11"/>
        <rFont val="Calibri"/>
        <family val="2"/>
        <scheme val="minor"/>
      </rPr>
      <t>0</t>
    </r>
    <r>
      <rPr>
        <sz val="11"/>
        <rFont val="Calibri"/>
        <family val="2"/>
        <scheme val="minor"/>
      </rPr>
      <t xml:space="preserve"> for NO, </t>
    </r>
    <r>
      <rPr>
        <b/>
        <sz val="11"/>
        <rFont val="Calibri"/>
        <family val="2"/>
        <scheme val="minor"/>
      </rPr>
      <t>1</t>
    </r>
    <r>
      <rPr>
        <sz val="11"/>
        <rFont val="Calibri"/>
        <family val="2"/>
        <scheme val="minor"/>
      </rPr>
      <t xml:space="preserve"> for YES, </t>
    </r>
    <r>
      <rPr>
        <b/>
        <sz val="11"/>
        <rFont val="Calibri"/>
        <family val="2"/>
        <scheme val="minor"/>
      </rPr>
      <t>2</t>
    </r>
    <r>
      <rPr>
        <sz val="11"/>
        <rFont val="Calibri"/>
        <family val="2"/>
        <scheme val="minor"/>
      </rPr>
      <t xml:space="preserve"> if multiple non-marketed agents.  If 'yes' then monograph must be written per UPHS policy</t>
    </r>
  </si>
  <si>
    <r>
      <rPr>
        <b/>
        <sz val="11"/>
        <rFont val="Calibri"/>
        <family val="2"/>
        <scheme val="minor"/>
      </rPr>
      <t xml:space="preserve"> 1</t>
    </r>
    <r>
      <rPr>
        <sz val="11"/>
        <rFont val="Calibri"/>
        <family val="2"/>
        <scheme val="minor"/>
      </rPr>
      <t xml:space="preserve"> = PI-initiated simple open-label single agent no manipulation</t>
    </r>
  </si>
  <si>
    <r>
      <t xml:space="preserve"> </t>
    </r>
    <r>
      <rPr>
        <b/>
        <sz val="11"/>
        <rFont val="Calibri"/>
        <family val="2"/>
        <scheme val="minor"/>
      </rPr>
      <t>4</t>
    </r>
    <r>
      <rPr>
        <sz val="11"/>
        <rFont val="Calibri"/>
        <family val="2"/>
        <scheme val="minor"/>
      </rPr>
      <t xml:space="preserve"> = Multiple agents, complex preparation, logistical questions</t>
    </r>
  </si>
  <si>
    <r>
      <t xml:space="preserve"> </t>
    </r>
    <r>
      <rPr>
        <b/>
        <sz val="11"/>
        <rFont val="Calibri"/>
        <family val="2"/>
        <scheme val="minor"/>
      </rPr>
      <t>5</t>
    </r>
    <r>
      <rPr>
        <sz val="11"/>
        <rFont val="Calibri"/>
        <family val="2"/>
        <scheme val="minor"/>
      </rPr>
      <t xml:space="preserve"> = Requires input to protocol design/language, CMC, etc</t>
    </r>
  </si>
  <si>
    <r>
      <t xml:space="preserve"> (</t>
    </r>
    <r>
      <rPr>
        <b/>
        <sz val="11"/>
        <rFont val="Calibri"/>
        <family val="2"/>
        <scheme val="minor"/>
      </rPr>
      <t>1</t>
    </r>
    <r>
      <rPr>
        <sz val="11"/>
        <rFont val="Calibri"/>
        <family val="2"/>
        <scheme val="minor"/>
      </rPr>
      <t xml:space="preserve"> = up to 5 minutes, </t>
    </r>
    <r>
      <rPr>
        <b/>
        <sz val="11"/>
        <rFont val="Calibri"/>
        <family val="2"/>
        <scheme val="minor"/>
      </rPr>
      <t>2</t>
    </r>
    <r>
      <rPr>
        <sz val="11"/>
        <rFont val="Calibri"/>
        <family val="2"/>
        <scheme val="minor"/>
      </rPr>
      <t xml:space="preserve"> = up to 10 minutes, </t>
    </r>
    <r>
      <rPr>
        <b/>
        <sz val="11"/>
        <rFont val="Calibri"/>
        <family val="2"/>
        <scheme val="minor"/>
      </rPr>
      <t>3</t>
    </r>
    <r>
      <rPr>
        <sz val="11"/>
        <rFont val="Calibri"/>
        <family val="2"/>
        <scheme val="minor"/>
      </rPr>
      <t xml:space="preserve"> = more complex)</t>
    </r>
  </si>
  <si>
    <r>
      <rPr>
        <b/>
        <sz val="11"/>
        <rFont val="Calibri"/>
        <family val="2"/>
        <scheme val="minor"/>
      </rPr>
      <t xml:space="preserve"> 4</t>
    </r>
    <r>
      <rPr>
        <sz val="11"/>
        <rFont val="Calibri"/>
        <family val="2"/>
        <scheme val="minor"/>
      </rPr>
      <t xml:space="preserve"> for C-I, </t>
    </r>
    <r>
      <rPr>
        <b/>
        <sz val="11"/>
        <rFont val="Calibri"/>
        <family val="2"/>
        <scheme val="minor"/>
      </rPr>
      <t>2</t>
    </r>
    <r>
      <rPr>
        <sz val="11"/>
        <rFont val="Calibri"/>
        <family val="2"/>
        <scheme val="minor"/>
      </rPr>
      <t xml:space="preserve"> for C-II, </t>
    </r>
    <r>
      <rPr>
        <b/>
        <sz val="11"/>
        <rFont val="Calibri"/>
        <family val="2"/>
        <scheme val="minor"/>
      </rPr>
      <t>1</t>
    </r>
    <r>
      <rPr>
        <sz val="11"/>
        <rFont val="Calibri"/>
        <family val="2"/>
        <scheme val="minor"/>
      </rPr>
      <t xml:space="preserve"> for C-III or C-IV or C-V, </t>
    </r>
    <r>
      <rPr>
        <b/>
        <sz val="11"/>
        <rFont val="Calibri"/>
        <family val="2"/>
        <scheme val="minor"/>
      </rPr>
      <t>0</t>
    </r>
    <r>
      <rPr>
        <sz val="11"/>
        <rFont val="Calibri"/>
        <family val="2"/>
        <scheme val="minor"/>
      </rPr>
      <t xml:space="preserve"> for non-sched</t>
    </r>
  </si>
  <si>
    <r>
      <rPr>
        <b/>
        <sz val="11"/>
        <rFont val="Calibri"/>
        <family val="2"/>
        <scheme val="minor"/>
      </rPr>
      <t>Enter number of products</t>
    </r>
    <r>
      <rPr>
        <sz val="11"/>
        <rFont val="Calibri"/>
        <family val="2"/>
        <scheme val="minor"/>
      </rPr>
      <t xml:space="preserve"> (1 for one, 2 for two, 3 for three, etc).  Note that active drug and matching placebo = 2; high dose, low dose and placebo = 3; etc.</t>
    </r>
  </si>
  <si>
    <r>
      <rPr>
        <b/>
        <sz val="11"/>
        <rFont val="Calibri"/>
        <family val="2"/>
        <scheme val="minor"/>
      </rPr>
      <t>Yes or No</t>
    </r>
    <r>
      <rPr>
        <sz val="11"/>
        <rFont val="Calibri"/>
        <family val="2"/>
        <scheme val="minor"/>
      </rPr>
      <t>.  The 24/7 requires separate inpatient staff procedures and staff training and setup, plus carrying protocol information when on-call</t>
    </r>
  </si>
  <si>
    <r>
      <rPr>
        <b/>
        <sz val="11"/>
        <rFont val="Calibri"/>
        <family val="2"/>
        <scheme val="minor"/>
      </rPr>
      <t>Enter # of other countries (not sites) involved.</t>
    </r>
    <r>
      <rPr>
        <sz val="11"/>
        <rFont val="Calibri"/>
        <family val="2"/>
        <scheme val="minor"/>
      </rPr>
      <t xml:space="preserve">  Example, if Canadian sites enter (1); if Canada and Mexico, enter (2).  This figure is an allowance for determining import/export requirements but does not include applying for import licenses.  Local PI is typically responsible for that step.</t>
    </r>
  </si>
  <si>
    <t>Compounding</t>
  </si>
  <si>
    <t>Dispensing</t>
  </si>
  <si>
    <t>Sterile Prep - complex</t>
  </si>
  <si>
    <t>Sterile Prep - moderate</t>
  </si>
  <si>
    <t>Sterile Prep - simple</t>
  </si>
  <si>
    <t>Other</t>
  </si>
  <si>
    <t>Bioburden (Colony Count - USP &lt;61/62&gt;)</t>
  </si>
  <si>
    <t>Colony Count (e-Coli / water quality)</t>
  </si>
  <si>
    <t>Deliverable Volume Test (USP &lt;698&gt;)</t>
  </si>
  <si>
    <t>pH of Sample (USP&lt;791&gt;)</t>
  </si>
  <si>
    <t>Sterility Testing (14 Day Incubation, USP&lt;71&gt;)</t>
  </si>
  <si>
    <t>Sterility Testing (Rapid Microbial Assay)</t>
  </si>
  <si>
    <t>Manual Temperature Records</t>
  </si>
  <si>
    <t xml:space="preserve">     Coordination with other clinical sites or pharmacies</t>
  </si>
  <si>
    <t># of Agents</t>
  </si>
  <si>
    <t>Monitoring</t>
  </si>
  <si>
    <t>Minimal</t>
  </si>
  <si>
    <t xml:space="preserve">     Enrollment outside IDS hours (7am-530pm M-F, 8am-330pm Sat/Sun)</t>
  </si>
  <si>
    <t xml:space="preserve">     Assistance with protocol language or CMC</t>
  </si>
  <si>
    <t xml:space="preserve">     Dosing outside IDS hours (patients can enroll during regular IDS hours)</t>
  </si>
  <si>
    <t xml:space="preserve">     Attend an off-campus meeting</t>
  </si>
  <si>
    <t xml:space="preserve">     Sponsor requires user training or certifications outside of the SIV</t>
  </si>
  <si>
    <t xml:space="preserve">     Other (explain):</t>
  </si>
  <si>
    <t># of Locations</t>
  </si>
  <si>
    <t>None</t>
  </si>
  <si>
    <t>Simple</t>
  </si>
  <si>
    <t>Advanced</t>
  </si>
  <si>
    <t>Intensive</t>
  </si>
  <si>
    <t>Tier 1</t>
  </si>
  <si>
    <t>Tier 2</t>
  </si>
  <si>
    <t>Routine</t>
  </si>
  <si>
    <t>Tier 3</t>
  </si>
  <si>
    <t>Tier 4</t>
  </si>
  <si>
    <t>Tier 5</t>
  </si>
  <si>
    <t>Tier 6</t>
  </si>
  <si>
    <t>Definition</t>
  </si>
  <si>
    <t>Lab testing for bacterial bioburden (typically for oral or topical preparations)</t>
  </si>
  <si>
    <t>Lab testing for eColi (typically for oral or topical preparations)</t>
  </si>
  <si>
    <t>Official USP test for recoverable volume of a liquid product from filled containers</t>
  </si>
  <si>
    <t>Lab testing - Official USP test for presence of particulates in a solution</t>
  </si>
  <si>
    <t>Lab testing of liquid sample for pH</t>
  </si>
  <si>
    <t>Lab testing - official USP direct inoculation method for growth of microorganisms</t>
  </si>
  <si>
    <t>Lab testing - rapid test for growth of microorganisms</t>
  </si>
  <si>
    <t>Weekly cost, if sponsor requires IDS maintain separate written daily temperature logs (separate from primary system)</t>
  </si>
  <si>
    <t>Category</t>
  </si>
  <si>
    <t>26 Digit Study Account</t>
  </si>
  <si>
    <t>Cnac</t>
  </si>
  <si>
    <t>Org</t>
  </si>
  <si>
    <t>BC</t>
  </si>
  <si>
    <t>Fund</t>
  </si>
  <si>
    <t>Prog</t>
  </si>
  <si>
    <t>Cref</t>
  </si>
  <si>
    <t>Dispensing &amp; Meds</t>
  </si>
  <si>
    <t># of Subjects</t>
  </si>
  <si>
    <t>Enter the number of locations the study is taking place or the number of locations IDS  will store products(ex. at both HUP and PPMC, or IDS storing product product in other locations such as maintaining starter kits in the emergency department)</t>
  </si>
  <si>
    <t>Annual Maintenance</t>
  </si>
  <si>
    <t>Please complete the above table to determine the level of maintenance required. Descriptions for each column are detailed below.</t>
  </si>
  <si>
    <t>Testing</t>
  </si>
  <si>
    <t># of Tests</t>
  </si>
  <si>
    <t>Service Count</t>
  </si>
  <si>
    <t>Rate</t>
  </si>
  <si>
    <t>Price</t>
  </si>
  <si>
    <t>Drugs to be Purchased</t>
  </si>
  <si>
    <t>Type</t>
  </si>
  <si>
    <r>
      <t xml:space="preserve">Service </t>
    </r>
    <r>
      <rPr>
        <b/>
        <i/>
        <sz val="9"/>
        <color rgb="FFFF0000"/>
        <rFont val="Calibri"/>
        <family val="2"/>
        <scheme val="minor"/>
      </rPr>
      <t>(dropdown - refer to list on the right for info)</t>
    </r>
  </si>
  <si>
    <r>
      <t>Dispensing Service</t>
    </r>
    <r>
      <rPr>
        <b/>
        <i/>
        <sz val="11"/>
        <color theme="1"/>
        <rFont val="Calibri"/>
        <family val="2"/>
        <scheme val="minor"/>
      </rPr>
      <t xml:space="preserve"> </t>
    </r>
    <r>
      <rPr>
        <b/>
        <i/>
        <sz val="9"/>
        <color rgb="FFFF0000"/>
        <rFont val="Calibri"/>
        <family val="2"/>
        <scheme val="minor"/>
      </rPr>
      <t>(dropdown - refer to list on the right for info)</t>
    </r>
  </si>
  <si>
    <r>
      <t>Service</t>
    </r>
    <r>
      <rPr>
        <b/>
        <i/>
        <sz val="11"/>
        <color rgb="FFFF0000"/>
        <rFont val="Calibri"/>
        <family val="2"/>
        <scheme val="minor"/>
      </rPr>
      <t xml:space="preserve"> </t>
    </r>
    <r>
      <rPr>
        <b/>
        <i/>
        <sz val="9"/>
        <color rgb="FFFF0000"/>
        <rFont val="Calibri"/>
        <family val="2"/>
        <scheme val="minor"/>
      </rPr>
      <t>(dropdown - refer to list on the right for info)</t>
    </r>
  </si>
  <si>
    <t>Notes/Comments</t>
  </si>
  <si>
    <t>Service Name</t>
  </si>
  <si>
    <t>Amount Per</t>
  </si>
  <si>
    <t>Total Price</t>
  </si>
  <si>
    <t>Price per</t>
  </si>
  <si>
    <t>Please Select Rate Category:</t>
  </si>
  <si>
    <t>Please complete this worksheet as accurately as possible to make sure you receive an accurate estimate!</t>
  </si>
  <si>
    <t>estimate will be prepared and sent to you, based on your input.</t>
  </si>
  <si>
    <t>Protocol Cover Sheet</t>
  </si>
  <si>
    <t>Please complete all sections highlighted in blue. All sections are required.</t>
  </si>
  <si>
    <t>required.</t>
  </si>
  <si>
    <t>Maintenance</t>
  </si>
  <si>
    <t>Please complete each cell color-coated in blue. Descriptions for each column are provided.</t>
  </si>
  <si>
    <t>Testing (Laboratory testing such as sterility or drug potency)</t>
  </si>
  <si>
    <t>Please explain what needs to be made below. If a service is not listed under the service dropdown, please describe your request below.</t>
  </si>
  <si>
    <r>
      <t>IDS Service &amp; Medications Worksheet</t>
    </r>
    <r>
      <rPr>
        <b/>
        <i/>
        <u/>
        <sz val="10"/>
        <color theme="1"/>
        <rFont val="Calibri"/>
        <family val="2"/>
        <scheme val="minor"/>
      </rPr>
      <t xml:space="preserve"> </t>
    </r>
    <r>
      <rPr>
        <b/>
        <i/>
        <u/>
        <sz val="10"/>
        <color rgb="FFFF0000"/>
        <rFont val="Calibri"/>
        <family val="2"/>
        <scheme val="minor"/>
      </rPr>
      <t>(Please scroll down thru each section and complete where applicable)</t>
    </r>
  </si>
  <si>
    <t>IDS Purchase (Yes/No)</t>
  </si>
  <si>
    <r>
      <t xml:space="preserve">Protocol Setup Costs </t>
    </r>
    <r>
      <rPr>
        <b/>
        <i/>
        <u/>
        <sz val="10"/>
        <color rgb="FFFF0000"/>
        <rFont val="Calibri"/>
        <family val="2"/>
        <scheme val="minor"/>
      </rPr>
      <t>(Please complete all of column B. Be sure to scroll all the way down)</t>
    </r>
  </si>
  <si>
    <t>Med Name &amp; Dose (ex. Ibuprofen 5mg)</t>
  </si>
  <si>
    <r>
      <t xml:space="preserve">Drug Name &amp; Dose </t>
    </r>
    <r>
      <rPr>
        <b/>
        <i/>
        <sz val="10"/>
        <color rgb="FFFF0000"/>
        <rFont val="Calibri"/>
        <family val="2"/>
        <scheme val="minor"/>
      </rPr>
      <t>(Pulled from Protocol Cover Sheet)</t>
    </r>
  </si>
  <si>
    <r>
      <t xml:space="preserve">Once complete, please email the worksheet to </t>
    </r>
    <r>
      <rPr>
        <b/>
        <u/>
        <sz val="11"/>
        <color theme="4" tint="-0.249977111117893"/>
        <rFont val="Calibri"/>
        <family val="2"/>
        <scheme val="minor"/>
      </rPr>
      <t>IDSBilling@pennmedicine.upenn.edu</t>
    </r>
    <r>
      <rPr>
        <b/>
        <sz val="11"/>
        <color theme="1"/>
        <rFont val="Calibri"/>
        <family val="2"/>
        <scheme val="minor"/>
      </rPr>
      <t>. After it has been reviewed, an</t>
    </r>
  </si>
  <si>
    <t>Prescription Type(IV, Bottle, Tablet etc.)</t>
  </si>
  <si>
    <t># Visits/IP Days Drug Dispensed per Subject</t>
  </si>
  <si>
    <t># of Visits Per Subject</t>
  </si>
  <si>
    <t>Quantity Dispensed per Visit/IP day (If container, enter quantity inside container)</t>
  </si>
  <si>
    <t>Do you want IDS to custom-package any med (blister cards, tamper-evident bottles, etc?) Please explain</t>
  </si>
  <si>
    <t>Random</t>
  </si>
  <si>
    <t>Non-Industry</t>
  </si>
  <si>
    <t>Industry</t>
  </si>
  <si>
    <t>External</t>
  </si>
  <si>
    <t>Kit Preparation (each)</t>
  </si>
  <si>
    <t>Special preparations (each)</t>
  </si>
  <si>
    <t>IVRS Drug Assignment by IDS (Yes/No)</t>
  </si>
  <si>
    <t>IVRS Drug Assignment</t>
  </si>
  <si>
    <t>Particulate Testing (USP &lt;790&gt;)</t>
  </si>
  <si>
    <t>Endotoxin/Pyrogen Testing (USP &lt;85&gt;)</t>
  </si>
  <si>
    <t>HPLC Assay</t>
  </si>
  <si>
    <t>USP compliant lab testing for endotoxins/pyrogens in a solution</t>
  </si>
  <si>
    <t>Lab testing - HPLC potency testing</t>
  </si>
  <si>
    <t>Other (Leave blank if nothing in the dropdown list applies)</t>
  </si>
  <si>
    <t>EDC data entry</t>
  </si>
  <si>
    <t xml:space="preserve">Medications: </t>
  </si>
  <si>
    <t>IDS use only</t>
  </si>
  <si>
    <r>
      <rPr>
        <b/>
        <sz val="11"/>
        <rFont val="Calibri"/>
        <family val="2"/>
        <scheme val="minor"/>
      </rPr>
      <t>Special services</t>
    </r>
    <r>
      <rPr>
        <sz val="11"/>
        <rFont val="Calibri"/>
        <family val="2"/>
        <scheme val="minor"/>
      </rPr>
      <t xml:space="preserve"> (please describe as best as possible, any special service needed, not covered in this worksheet)</t>
    </r>
  </si>
  <si>
    <t>Does the protocol involve inpatients at HUP or inpatients in CHPS?* (If NO: skip following questions)</t>
  </si>
  <si>
    <t>Compounding/Manufacturing (Making capsules, ointments, suspensions, etc.)</t>
  </si>
  <si>
    <t>Complexity Score:</t>
  </si>
  <si>
    <t>Complexity score of 0. Complexity score is calculated based on a number of factors such as the number of steps, calculations, special handling/transport, completion of sponsor worksheets, etc.)</t>
  </si>
  <si>
    <t>Capsules/Tablets?</t>
  </si>
  <si>
    <t>Complexity score between 1-2. Complexity score is calculated based on a number of factors such as the number of steps, calculations, special handling/transport, completion of sponsor worksheets, etc.)</t>
  </si>
  <si>
    <t>Syringe?</t>
  </si>
  <si>
    <t>IV bag?</t>
  </si>
  <si>
    <t>Complexity score between 3-5. Complexity score is calculated based on a number of factors such as the number of steps, calculations, special handling/transport, completion of sponsor worksheets, etc.)</t>
  </si>
  <si>
    <t>Thawing Required?</t>
  </si>
  <si>
    <t>Sterile Prep - very complex</t>
  </si>
  <si>
    <t>Complexity score between 6-9. Complexity score is calculated based on a number of factors such as the number of steps, calculations, special handling/transport, completion of sponsor worksheets, etc.)</t>
  </si>
  <si>
    <t>Sterile Prep - special preparation</t>
  </si>
  <si>
    <t>Complexity score greater than 9. Complexity score is calculated based on a number of factors such as the number of steps, calculations, special handling/transport, completion of sponsor worksheets, etc.)</t>
  </si>
  <si>
    <t>Filtration Required?</t>
  </si>
  <si>
    <t>Blinding of dispensed product(by IDS)?</t>
  </si>
  <si>
    <t>Sponsor worksheets required to be completed by IDS each dispense?</t>
  </si>
  <si>
    <t># of subjects</t>
  </si>
  <si>
    <t># of times drug dispensed per subject?</t>
  </si>
  <si>
    <t>Calculations Required?(ie. based on subject weight, etc.)</t>
  </si>
  <si>
    <t>Special Transport?(ie. Special containers, dry ice, etc., Please explain)</t>
  </si>
  <si>
    <t>If Yes to filtration, how many filtrations required?</t>
  </si>
  <si>
    <t>Make sure to scroll down to see all the sections available.</t>
  </si>
  <si>
    <t>Please complete each section of the form if applicable(Compounding, Testing, Other).</t>
  </si>
  <si>
    <t>Manufacturing-Testing-Other</t>
  </si>
  <si>
    <t>If Yes to "capsules/tablets", how many capsules/tablets dispensed per visit?</t>
  </si>
  <si>
    <t xml:space="preserve">Do you want IDS to formulate and manufacture any products? </t>
  </si>
  <si>
    <r>
      <rPr>
        <b/>
        <sz val="11"/>
        <color theme="1"/>
        <rFont val="Calibri"/>
        <family val="2"/>
        <scheme val="minor"/>
      </rPr>
      <t>Minimal:</t>
    </r>
    <r>
      <rPr>
        <sz val="11"/>
        <color theme="1"/>
        <rFont val="Calibri"/>
        <family val="2"/>
        <scheme val="minor"/>
      </rPr>
      <t xml:space="preserve"> once/year or less (Ex. Contracting with OCR or an internal monitor to conduct a single monitoring visit as due diligence)</t>
    </r>
  </si>
  <si>
    <r>
      <rPr>
        <b/>
        <sz val="11"/>
        <color theme="1"/>
        <rFont val="Calibri"/>
        <family val="2"/>
        <scheme val="minor"/>
      </rPr>
      <t>Routine:</t>
    </r>
    <r>
      <rPr>
        <sz val="11"/>
        <color theme="1"/>
        <rFont val="Calibri"/>
        <family val="2"/>
        <scheme val="minor"/>
      </rPr>
      <t xml:space="preserve"> typical industry  trial - where study monitor conducts 2-4 monitoring visits per year</t>
    </r>
  </si>
  <si>
    <r>
      <rPr>
        <b/>
        <sz val="11"/>
        <color theme="1"/>
        <rFont val="Calibri"/>
        <family val="2"/>
        <scheme val="minor"/>
      </rPr>
      <t>Intensive:</t>
    </r>
    <r>
      <rPr>
        <sz val="11"/>
        <color theme="1"/>
        <rFont val="Calibri"/>
        <family val="2"/>
        <scheme val="minor"/>
      </rPr>
      <t xml:space="preserve"> frequent visits (such as every 4-6 weeks) or long or extended visits (such as DAIDS/NIADS audits that may span an entire day, every quarter</t>
    </r>
  </si>
  <si>
    <t>Pre-packaged/Unit dose dispense(ie. with no counting or preparation)?</t>
  </si>
  <si>
    <r>
      <rPr>
        <b/>
        <sz val="11"/>
        <color rgb="FFFF0000"/>
        <rFont val="Calibri"/>
        <family val="2"/>
        <scheme val="minor"/>
      </rPr>
      <t>&amp; Manufacturing)</t>
    </r>
    <r>
      <rPr>
        <b/>
        <sz val="11"/>
        <color theme="1"/>
        <rFont val="Calibri"/>
        <family val="2"/>
        <scheme val="minor"/>
      </rPr>
      <t xml:space="preserve">. If you have any questions concerning anything, please contact </t>
    </r>
    <r>
      <rPr>
        <b/>
        <u/>
        <sz val="11"/>
        <color theme="4" tint="-0.249977111117893"/>
        <rFont val="Calibri"/>
        <family val="2"/>
        <scheme val="minor"/>
      </rPr>
      <t>IDSBilling@pennmedicine.upenn.edu</t>
    </r>
    <r>
      <rPr>
        <b/>
        <sz val="11"/>
        <color theme="1"/>
        <rFont val="Calibri"/>
        <family val="2"/>
        <scheme val="minor"/>
      </rPr>
      <t>.</t>
    </r>
  </si>
  <si>
    <t>Will IDS prepare the syringe? (In most cases, IDS must prep, unless it is prefilled or drug stability is less than an hour)</t>
  </si>
  <si>
    <t>Notes/Comments(any information relevant to the dispense that is not asked in this questionnaire):</t>
  </si>
  <si>
    <t>Gene/Cell Therapy or Vector(ex. Viral)?</t>
  </si>
  <si>
    <t>Dilution/Reconstitution Required?</t>
  </si>
  <si>
    <t>Will IDS need to work with IVRS/IRT/IWRS system to dispense medication?</t>
  </si>
  <si>
    <t>Enter the # of agents that IDS will be responsible for managing and maintaining. Different strengths of drug should be added separately. (ie. Ibuprofin 200mg, and 600mg would equal 2)</t>
  </si>
  <si>
    <t>IVRS for Tracking Shipments/Inventory?</t>
  </si>
  <si>
    <t>IVRS for Tracking Shipments/Inventory</t>
  </si>
  <si>
    <t>If a sponsor system/application must be used to track shipments/inventory, please select "Yes".</t>
  </si>
  <si>
    <t>Do you require assistance with pharmacy manual language (how many hours)?</t>
  </si>
  <si>
    <t>Does the protocol require 24/7 access for enrollment and dosing?</t>
  </si>
  <si>
    <t>Does the protocol permit dosing ONLY during weekday hours?</t>
  </si>
  <si>
    <r>
      <rPr>
        <b/>
        <sz val="11"/>
        <rFont val="Calibri"/>
        <family val="2"/>
        <scheme val="minor"/>
      </rPr>
      <t xml:space="preserve"> 2</t>
    </r>
    <r>
      <rPr>
        <sz val="11"/>
        <rFont val="Calibri"/>
        <family val="2"/>
        <scheme val="minor"/>
      </rPr>
      <t xml:space="preserve"> = 1-2 agents with little to no preparation involved</t>
    </r>
  </si>
  <si>
    <r>
      <rPr>
        <b/>
        <sz val="11"/>
        <rFont val="Calibri"/>
        <family val="2"/>
        <scheme val="minor"/>
      </rPr>
      <t xml:space="preserve"> 3</t>
    </r>
    <r>
      <rPr>
        <sz val="11"/>
        <rFont val="Calibri"/>
        <family val="2"/>
        <scheme val="minor"/>
      </rPr>
      <t xml:space="preserve"> = More than 2 agents or sterile preparation needed</t>
    </r>
  </si>
  <si>
    <t>Variable - hourly.  Need to see existing pharmacy manual draft and how much is left to fill in.  Typically between 2h (for 1-2 pages) to 4h.</t>
  </si>
  <si>
    <r>
      <rPr>
        <b/>
        <sz val="10"/>
        <color theme="1"/>
        <rFont val="Calibri"/>
        <family val="2"/>
        <scheme val="minor"/>
      </rPr>
      <t>IDS CENTRAL:</t>
    </r>
    <r>
      <rPr>
        <sz val="10"/>
        <color theme="1"/>
        <rFont val="Calibri"/>
        <family val="2"/>
        <scheme val="minor"/>
      </rPr>
      <t xml:space="preserve">  3600 Civic Center Blvd / 10</t>
    </r>
    <r>
      <rPr>
        <vertAlign val="superscript"/>
        <sz val="10"/>
        <color theme="1"/>
        <rFont val="Calibri"/>
        <family val="2"/>
        <scheme val="minor"/>
      </rPr>
      <t>th</t>
    </r>
    <r>
      <rPr>
        <sz val="10"/>
        <color theme="1"/>
        <rFont val="Calibri"/>
        <family val="2"/>
        <scheme val="minor"/>
      </rPr>
      <t xml:space="preserve"> Floor / Philadelphia, PA 19104 / 215-662-7911 / fax 215-615-1308</t>
    </r>
  </si>
  <si>
    <r>
      <rPr>
        <b/>
        <sz val="10"/>
        <color theme="1"/>
        <rFont val="Calibri"/>
        <family val="2"/>
        <scheme val="minor"/>
      </rPr>
      <t>IDS NORTH:</t>
    </r>
    <r>
      <rPr>
        <sz val="10"/>
        <color theme="1"/>
        <rFont val="Calibri"/>
        <family val="2"/>
        <scheme val="minor"/>
      </rPr>
      <t xml:space="preserve">  51 N 39</t>
    </r>
    <r>
      <rPr>
        <vertAlign val="superscript"/>
        <sz val="10"/>
        <color theme="1"/>
        <rFont val="Calibri"/>
        <family val="2"/>
        <scheme val="minor"/>
      </rPr>
      <t>th</t>
    </r>
    <r>
      <rPr>
        <sz val="10"/>
        <color theme="1"/>
        <rFont val="Calibri"/>
        <family val="2"/>
        <scheme val="minor"/>
      </rPr>
      <t xml:space="preserve"> St / 103 Mutch Bldg / Philadelphia, PA 19104 / 215-662-9995 / fax 215-243-4645</t>
    </r>
  </si>
  <si>
    <r>
      <rPr>
        <b/>
        <sz val="10"/>
        <color theme="1"/>
        <rFont val="Calibri"/>
        <family val="2"/>
        <scheme val="minor"/>
      </rPr>
      <t>IDS SMILOW:</t>
    </r>
    <r>
      <rPr>
        <sz val="10"/>
        <color theme="1"/>
        <rFont val="Calibri"/>
        <family val="2"/>
        <scheme val="minor"/>
      </rPr>
      <t xml:space="preserve">  3400 Civic Center Blvd / Room 161 / Philadelphia, PA 19104 / 215-662-3342 / fax 215-349-5132</t>
    </r>
  </si>
  <si>
    <r>
      <t xml:space="preserve">     </t>
    </r>
    <r>
      <rPr>
        <b/>
        <sz val="10"/>
        <color theme="1"/>
        <rFont val="Constantia"/>
        <family val="1"/>
      </rPr>
      <t xml:space="preserve">   </t>
    </r>
    <r>
      <rPr>
        <b/>
        <sz val="9.5"/>
        <color theme="1"/>
        <rFont val="Constantia"/>
        <family val="1"/>
      </rPr>
      <t>Investigational Drug Service - University of Pennsylvania – Perelman School of Medicine</t>
    </r>
  </si>
  <si>
    <t>Is the medication commercially available?</t>
  </si>
  <si>
    <t>Determination</t>
  </si>
  <si>
    <t>Is accountability required by sponsor?</t>
  </si>
  <si>
    <t>Medication List will pull from "Medications" tab. Please be sure to answer all questions on that tab for each medication listed.</t>
  </si>
  <si>
    <t>Medication List</t>
  </si>
  <si>
    <t>Will medication be provided by sponsor?</t>
  </si>
  <si>
    <t>Sponsor Provided? (Yes/No)</t>
  </si>
  <si>
    <t>Please list all medications to be dispensed. If you know for sure IDS will not dispense the medication(ex. SOC med), you do not have to list it. This questionnaire will help determine if a medication will need to be dispensed by IDS. Please be sure to answer all questions.</t>
  </si>
  <si>
    <t>Please list all medications to be dispensed per the protocol, and answer all questions for each medication.</t>
  </si>
  <si>
    <t>Medications</t>
  </si>
  <si>
    <t>Will multiple containers(ie. bottles, vials, etc.) be dispensed?</t>
  </si>
  <si>
    <t>Research build</t>
  </si>
  <si>
    <t>Rx - Simple</t>
  </si>
  <si>
    <t>Rx - Moderate</t>
  </si>
  <si>
    <t>Rx - Complex</t>
  </si>
  <si>
    <t>Rx - Very Complex</t>
  </si>
  <si>
    <t>Complexity score greater than 2-3. Complexity score is calculated based on a number of factors such as the number of steps, calculations, special handling/transport, completion of sponsor worksheets, etc.)</t>
  </si>
  <si>
    <t>Complexity score greater than 4. Complexity score is calculated based on a number of factors such as the number of steps, calculations, special handling/transport, completion of sponsor worksheets, etc.)</t>
  </si>
  <si>
    <t>Capsule Manufacturing (per 300 caps) -- simple</t>
  </si>
  <si>
    <t>Capsule Manufacturing (per 300 caps) -- complex</t>
  </si>
  <si>
    <t>Data entry in EDC/sponsor system – study drug dispensing, patient returns, drug destruction (per event)</t>
  </si>
  <si>
    <t>Supplies to be Purchased</t>
  </si>
  <si>
    <t>Appearance</t>
  </si>
  <si>
    <t>Method Validation</t>
  </si>
  <si>
    <t>Visual inspection to ensure free of inappropriate visible particles, foreign matter, discoloration, or other defects</t>
  </si>
  <si>
    <t>USP &lt;71&gt; method suitability test to validate sterility results for new product preparation</t>
  </si>
  <si>
    <t>Is this an early phase study (Phase I or I/II)?</t>
  </si>
  <si>
    <t>Will there be individually numbered and tracked inventory units?</t>
  </si>
  <si>
    <t>Will BSL2 handling be required?</t>
  </si>
  <si>
    <t>Ultracold freezer (-80 degrees Celsius)?</t>
  </si>
  <si>
    <t>Is this an investigator initiated study?</t>
  </si>
  <si>
    <t>Enrollment and/or dispensing outside of standard IDS business hours required?</t>
  </si>
  <si>
    <t>Bulky or oversized packaging/additional inventory storage needs?</t>
  </si>
  <si>
    <t>Competitive, high, or rapid enrollment?</t>
  </si>
  <si>
    <t>Protocol Review (1 to 5 scale for complexity)</t>
  </si>
  <si>
    <t>Dispensing Procedure Creation (1 to 5 scale for complexity)</t>
  </si>
  <si>
    <t>Use of Controlled Substances?</t>
  </si>
  <si>
    <t>Is a BEACON build required?</t>
  </si>
  <si>
    <t>Is a Research Build required?</t>
  </si>
  <si>
    <t>Will you need randomization tables created?</t>
  </si>
  <si>
    <t xml:space="preserve">Do you need IDS to formulate blinded dosage forms for your trial (Compounding)? </t>
  </si>
  <si>
    <t>Does the protocol involve inpatients at HUP or inpatients in CHPS?* (If NO: skip following question)</t>
  </si>
  <si>
    <t>Does the project require sending product to other clinical sites (other investigators)? (If NO: skip following 4 questions)</t>
  </si>
  <si>
    <t>Special services (please describe below, as best as possible, any special service needed, not covered in this worksheet)</t>
  </si>
  <si>
    <t>Number of locations (Internal &amp; External Combined)?</t>
  </si>
  <si>
    <t>Do you need a kit or package designed for dispensing (i.e. blister cards, boxed vials)?</t>
  </si>
  <si>
    <t>Initiation</t>
  </si>
  <si>
    <r>
      <rPr>
        <b/>
        <sz val="10"/>
        <rFont val="Calibri"/>
        <family val="2"/>
        <scheme val="minor"/>
      </rPr>
      <t>4</t>
    </r>
    <r>
      <rPr>
        <sz val="10"/>
        <rFont val="Calibri"/>
        <family val="2"/>
        <scheme val="minor"/>
      </rPr>
      <t xml:space="preserve"> for C-I, </t>
    </r>
    <r>
      <rPr>
        <b/>
        <sz val="10"/>
        <rFont val="Calibri"/>
        <family val="2"/>
        <scheme val="minor"/>
      </rPr>
      <t>2</t>
    </r>
    <r>
      <rPr>
        <sz val="10"/>
        <rFont val="Calibri"/>
        <family val="2"/>
        <scheme val="minor"/>
      </rPr>
      <t xml:space="preserve"> for C-II, </t>
    </r>
    <r>
      <rPr>
        <b/>
        <sz val="10"/>
        <rFont val="Calibri"/>
        <family val="2"/>
        <scheme val="minor"/>
      </rPr>
      <t>1</t>
    </r>
    <r>
      <rPr>
        <sz val="10"/>
        <rFont val="Calibri"/>
        <family val="2"/>
        <scheme val="minor"/>
      </rPr>
      <t xml:space="preserve"> for C-III or C-IV or C-V, </t>
    </r>
    <r>
      <rPr>
        <b/>
        <sz val="10"/>
        <rFont val="Calibri"/>
        <family val="2"/>
        <scheme val="minor"/>
      </rPr>
      <t>0</t>
    </r>
    <r>
      <rPr>
        <sz val="10"/>
        <rFont val="Calibri"/>
        <family val="2"/>
        <scheme val="minor"/>
      </rPr>
      <t xml:space="preserve"> for non-sched</t>
    </r>
  </si>
  <si>
    <r>
      <rPr>
        <b/>
        <sz val="10"/>
        <color theme="1"/>
        <rFont val="Calibri"/>
        <family val="2"/>
        <scheme val="minor"/>
      </rPr>
      <t>1</t>
    </r>
    <r>
      <rPr>
        <sz val="10"/>
        <color theme="1"/>
        <rFont val="Calibri"/>
        <family val="2"/>
        <scheme val="minor"/>
      </rPr>
      <t xml:space="preserve"> = PI-initiated simple open-label single agent no manipulation                           </t>
    </r>
    <r>
      <rPr>
        <b/>
        <sz val="10"/>
        <color theme="1"/>
        <rFont val="Calibri"/>
        <family val="2"/>
        <scheme val="minor"/>
      </rPr>
      <t>2</t>
    </r>
    <r>
      <rPr>
        <sz val="10"/>
        <color theme="1"/>
        <rFont val="Calibri"/>
        <family val="2"/>
        <scheme val="minor"/>
      </rPr>
      <t xml:space="preserve"> = 1-2 agents with little to no preparation involved                                                   </t>
    </r>
    <r>
      <rPr>
        <b/>
        <sz val="10"/>
        <color theme="1"/>
        <rFont val="Calibri"/>
        <family val="2"/>
        <scheme val="minor"/>
      </rPr>
      <t xml:space="preserve"> 3</t>
    </r>
    <r>
      <rPr>
        <sz val="10"/>
        <color theme="1"/>
        <rFont val="Calibri"/>
        <family val="2"/>
        <scheme val="minor"/>
      </rPr>
      <t xml:space="preserve"> = More than 2 agents or sterile preparation needed                                                 </t>
    </r>
    <r>
      <rPr>
        <b/>
        <sz val="10"/>
        <color theme="1"/>
        <rFont val="Calibri"/>
        <family val="2"/>
        <scheme val="minor"/>
      </rPr>
      <t>4</t>
    </r>
    <r>
      <rPr>
        <sz val="10"/>
        <color theme="1"/>
        <rFont val="Calibri"/>
        <family val="2"/>
        <scheme val="minor"/>
      </rPr>
      <t xml:space="preserve"> = Multiple agents, complex preparation, logistical questions                               </t>
    </r>
    <r>
      <rPr>
        <b/>
        <sz val="10"/>
        <color theme="1"/>
        <rFont val="Calibri"/>
        <family val="2"/>
        <scheme val="minor"/>
      </rPr>
      <t>5</t>
    </r>
    <r>
      <rPr>
        <sz val="10"/>
        <color theme="1"/>
        <rFont val="Calibri"/>
        <family val="2"/>
        <scheme val="minor"/>
      </rPr>
      <t xml:space="preserve"> = Requires input to protocol design/language, CMC, etc</t>
    </r>
  </si>
  <si>
    <t>Input Value</t>
  </si>
  <si>
    <r>
      <rPr>
        <b/>
        <sz val="10"/>
        <color theme="1"/>
        <rFont val="Calibri"/>
        <family val="2"/>
        <scheme val="minor"/>
      </rPr>
      <t>0</t>
    </r>
    <r>
      <rPr>
        <sz val="10"/>
        <color theme="1"/>
        <rFont val="Calibri"/>
        <family val="2"/>
        <scheme val="minor"/>
      </rPr>
      <t xml:space="preserve"> for NO, </t>
    </r>
    <r>
      <rPr>
        <b/>
        <sz val="10"/>
        <color theme="1"/>
        <rFont val="Calibri"/>
        <family val="2"/>
        <scheme val="minor"/>
      </rPr>
      <t>1</t>
    </r>
    <r>
      <rPr>
        <sz val="10"/>
        <color theme="1"/>
        <rFont val="Calibri"/>
        <family val="2"/>
        <scheme val="minor"/>
      </rPr>
      <t xml:space="preserve"> for YES, </t>
    </r>
    <r>
      <rPr>
        <b/>
        <sz val="10"/>
        <color theme="1"/>
        <rFont val="Calibri"/>
        <family val="2"/>
        <scheme val="minor"/>
      </rPr>
      <t>2</t>
    </r>
    <r>
      <rPr>
        <sz val="10"/>
        <color theme="1"/>
        <rFont val="Calibri"/>
        <family val="2"/>
        <scheme val="minor"/>
      </rPr>
      <t xml:space="preserve"> if multiple non-marketed agents.  If 'yes' then monograph must be written per UPHS policy</t>
    </r>
  </si>
  <si>
    <r>
      <rPr>
        <b/>
        <sz val="10"/>
        <color theme="1"/>
        <rFont val="Calibri"/>
        <family val="2"/>
        <scheme val="minor"/>
      </rPr>
      <t>Enter number of products</t>
    </r>
    <r>
      <rPr>
        <sz val="10"/>
        <color theme="1"/>
        <rFont val="Calibri"/>
        <family val="2"/>
        <scheme val="minor"/>
      </rPr>
      <t xml:space="preserve"> (1 for one, 2 for two, 3 for three, etc).  Note that active drug and matching placebo = 2; high dose, low dose and placebo = 3; etc.</t>
    </r>
  </si>
  <si>
    <r>
      <rPr>
        <b/>
        <sz val="10"/>
        <color theme="1"/>
        <rFont val="Calibri"/>
        <family val="2"/>
        <scheme val="minor"/>
      </rPr>
      <t>Variable - hourly.</t>
    </r>
    <r>
      <rPr>
        <sz val="10"/>
        <color theme="1"/>
        <rFont val="Calibri"/>
        <family val="2"/>
        <scheme val="minor"/>
      </rPr>
      <t xml:space="preserve">  Need to see existing pharmacy manual draft and how much is left to fill in.  Typically between 2h (for 1-2 pages) to 4h.</t>
    </r>
  </si>
  <si>
    <r>
      <rPr>
        <b/>
        <sz val="10"/>
        <color theme="1"/>
        <rFont val="Calibri"/>
        <family val="2"/>
        <scheme val="minor"/>
      </rPr>
      <t>Yes or No</t>
    </r>
    <r>
      <rPr>
        <sz val="10"/>
        <color theme="1"/>
        <rFont val="Calibri"/>
        <family val="2"/>
        <scheme val="minor"/>
      </rPr>
      <t>.  The 24/7 requires separate inpatient staff procedures and staff training and setup, plus carrying protocol information when on-call</t>
    </r>
  </si>
  <si>
    <t>Enter # of other countries (not sites) involved.</t>
  </si>
  <si>
    <t>Enter actual # of sites IDS would be responsible for shipping to.</t>
  </si>
  <si>
    <t>Numerical value - total number of sites internal &amp; external.</t>
  </si>
  <si>
    <r>
      <t>Initiation &amp; Annual Maintenance</t>
    </r>
    <r>
      <rPr>
        <b/>
        <u/>
        <sz val="12"/>
        <color rgb="FFFF0000"/>
        <rFont val="Calibri"/>
        <family val="2"/>
        <scheme val="minor"/>
      </rPr>
      <t xml:space="preserve"> (Please complete all questions below. Be sure to scroll all the way to the bottom.)</t>
    </r>
  </si>
  <si>
    <t>Complexity Score</t>
  </si>
  <si>
    <t>Total # of agents - Placebo or different medication strengths should be counted separately</t>
  </si>
  <si>
    <t>Does sponsor require 'IVRS' training , 'GCP training' or any other sponsor-specific training before study launch?</t>
  </si>
  <si>
    <r>
      <t>Routine</t>
    </r>
    <r>
      <rPr>
        <sz val="10"/>
        <color theme="1"/>
        <rFont val="Calibri"/>
        <family val="2"/>
        <scheme val="minor"/>
      </rPr>
      <t xml:space="preserve"> - quarterly visits(or 4 per year), </t>
    </r>
    <r>
      <rPr>
        <b/>
        <sz val="10"/>
        <color theme="1"/>
        <rFont val="Calibri"/>
        <family val="2"/>
        <scheme val="minor"/>
      </rPr>
      <t>Minimal</t>
    </r>
    <r>
      <rPr>
        <sz val="10"/>
        <color theme="1"/>
        <rFont val="Calibri"/>
        <family val="2"/>
        <scheme val="minor"/>
      </rPr>
      <t xml:space="preserve"> - frequency less than quarterly, </t>
    </r>
    <r>
      <rPr>
        <b/>
        <sz val="10"/>
        <color theme="1"/>
        <rFont val="Calibri"/>
        <family val="2"/>
        <scheme val="minor"/>
      </rPr>
      <t>Intensive</t>
    </r>
    <r>
      <rPr>
        <sz val="10"/>
        <color theme="1"/>
        <rFont val="Calibri"/>
        <family val="2"/>
        <scheme val="minor"/>
      </rPr>
      <t xml:space="preserve"> - frequency more than quarterly</t>
    </r>
  </si>
  <si>
    <t>Monitor visits frequency?</t>
  </si>
  <si>
    <t>Dispense Complexity</t>
  </si>
  <si>
    <t>Sponsor Worksheets</t>
  </si>
  <si>
    <t>Dispense IVRS</t>
  </si>
  <si>
    <t>Accountability not supplied</t>
  </si>
  <si>
    <t>Please answer questions for each drug listed. You may skip any question that does not apply. Meds will pull from "Medications" tab.</t>
  </si>
  <si>
    <t>Other Services</t>
  </si>
  <si>
    <t>Fee Name</t>
  </si>
  <si>
    <t>EDC data entry (per event)</t>
  </si>
  <si>
    <t>Clinical/Administrative Service Fee</t>
  </si>
  <si>
    <t>Shipping cost</t>
  </si>
  <si>
    <t>Special Handling</t>
  </si>
  <si>
    <t>Setup of additional site</t>
  </si>
  <si>
    <t>Add to maintenace calculation</t>
  </si>
  <si>
    <t>Do you need a kit or package designed for bulk compounding (i.e. blister cards, boxed vials)*</t>
  </si>
  <si>
    <t>Move compounding questions</t>
  </si>
  <si>
    <t>get rid of it</t>
  </si>
  <si>
    <t>Stable Isotope Preparation (batch)</t>
  </si>
  <si>
    <t>Manufacture of gelatin capsules - specific amount of powder mixture inside a capsule; requires weight checks or manipulation.  Costs include materials and labor except for the drug itself.(minimum of 300)</t>
  </si>
  <si>
    <t>Capsule Manufacturing (per 30) -- Manual Fill - simple</t>
  </si>
  <si>
    <t>Capsules individually filled via manual process (minimum 30)</t>
  </si>
  <si>
    <t>Capsule Manufacturing (per 30) -- Manual Fill - complex</t>
  </si>
  <si>
    <t>Capsules individually filled via manual process; requires weight checks (minimum 30)</t>
  </si>
  <si>
    <t>Packaging of study drug bottles/blister cards/etc. into kits. Additional supply cost may apply.</t>
  </si>
  <si>
    <t>Solutions, suspensions, ointments, powder packaging. Additional supply cost may apply.</t>
  </si>
  <si>
    <t>Manufacture of gelatin capsules - simple powder fill  inside an opaque shell.  Costs include materials and labor except for the drug itself. (per 300 minimum)</t>
  </si>
  <si>
    <t>Temp Controlled Shipping</t>
  </si>
  <si>
    <t>Controlled Substance</t>
  </si>
  <si>
    <t>Please list all supplies IDS would need to provide:</t>
  </si>
  <si>
    <t>Will Closed System Transfer Devices (CSTDs) be required?</t>
  </si>
  <si>
    <t>Will IDS need to compound or provide matching placebo?</t>
  </si>
  <si>
    <t>Preparation of stables isotopes per batch</t>
  </si>
  <si>
    <t>Initiation &amp; Maintenance</t>
  </si>
  <si>
    <t>Site Specific</t>
  </si>
  <si>
    <t>Complex IP</t>
  </si>
  <si>
    <t>Early Phase</t>
  </si>
  <si>
    <t>Additional Doc</t>
  </si>
  <si>
    <t>Dispense Comp</t>
  </si>
  <si>
    <t>- Please complete the 5 tabs color-coated in blue(Protocol Cover Sheet, Medications, Initiation &amp; Maintenance, Dispensing</t>
  </si>
  <si>
    <t>Please complete each section in column D. Refer to the instructions in column E for each section. All sections are</t>
  </si>
  <si>
    <t>Please complete all questions for each medications listed. Meds are pulled from the "Medications" tab.</t>
  </si>
  <si>
    <t>Coordinator &amp; Contact Information:</t>
  </si>
  <si>
    <t>How many agents will IDS be responsible for storing and/or dispensing?</t>
  </si>
  <si>
    <t>Liquid nitrogen or less than minus 160 degrees Celsius storage?</t>
  </si>
  <si>
    <r>
      <t xml:space="preserve">If Yes to dilution/reconstitutions, how many required? </t>
    </r>
    <r>
      <rPr>
        <i/>
        <sz val="9"/>
        <color theme="1"/>
        <rFont val="Calibri"/>
        <family val="2"/>
        <scheme val="minor"/>
      </rPr>
      <t>(Note: When multiple vials are used each vial requiring dilution/reconstitution counts as 1)</t>
    </r>
  </si>
  <si>
    <t>(Ver14 Jan2025)</t>
  </si>
  <si>
    <t>Bulk Sterile Packaging (per 10 vials)</t>
  </si>
  <si>
    <t>Sterile preparation of bulk drug products for distribution to another site (per minimum 10)</t>
  </si>
  <si>
    <t>Non-Sterile Preparation</t>
  </si>
  <si>
    <t>Preparation of products under non-sterile conditions</t>
  </si>
  <si>
    <t>Blister Card - simple (each)</t>
  </si>
  <si>
    <t>Blister Card - complex (each)</t>
  </si>
  <si>
    <t>Repackaging of capsules or tablets into blister cards(30 or less capsules/tablets). Additional supply cost may apply.</t>
  </si>
  <si>
    <t>Repackaging of capsules or tablets into blister cards(more than 30 capsules/tablets). Additional supply cost may apply.</t>
  </si>
  <si>
    <t>Capsule/Tablet Bottle Packaging - simple (Per Bottle)</t>
  </si>
  <si>
    <t>Capsule/Tablet Bottle Packaging - complex (Per Bottle)</t>
  </si>
  <si>
    <t>Packaging of study drug capsules/tablets into bottle/containers(30 or less capsules/tablets). Additional supply cost may apply.</t>
  </si>
  <si>
    <t>Packaging of study drug capsules/tablets into bottle/containers(more than 30 capsules/tablets). Additional supply cost may apply.</t>
  </si>
  <si>
    <t>Capsules precision-weighed on Mettler Quantos (per 250)</t>
  </si>
  <si>
    <t>Capsules individually weighed to within under 1mg accuracy (per 250 minimum). Does not include cost of dosing 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</si>
</sst>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d/yy;@"/>
    <numFmt numFmtId="165" formatCode="0.0"/>
  </numFmts>
  <fonts count="70"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sz val="11"/>
      <color theme="1"/>
      <name val="Constantia"/>
      <family val="1"/>
    </font>
    <font>
      <sz val="10"/>
      <color theme="1"/>
      <name val="Constantia"/>
      <family val="1"/>
    </font>
    <font>
      <sz val="10"/>
      <color rgb="FFFF0000"/>
      <name val="Constantia"/>
      <family val="1"/>
    </font>
    <font>
      <sz val="11"/>
      <name val="Calibri"/>
      <family val="2"/>
      <scheme val="minor"/>
    </font>
    <font>
      <u/>
      <sz val="11"/>
      <color theme="10"/>
      <name val="Calibri"/>
      <family val="2"/>
      <scheme val="minor"/>
    </font>
    <font>
      <b/>
      <sz val="12"/>
      <color theme="1"/>
      <name val="Calibri"/>
      <family val="2"/>
      <scheme val="minor"/>
    </font>
    <font>
      <b/>
      <sz val="14"/>
      <color theme="1"/>
      <name val="Calibri"/>
      <family val="2"/>
      <scheme val="minor"/>
    </font>
    <font>
      <b/>
      <sz val="20"/>
      <color theme="1"/>
      <name val="Calibri"/>
      <family val="2"/>
      <scheme val="minor"/>
    </font>
    <font>
      <b/>
      <i/>
      <u/>
      <sz val="12"/>
      <color theme="1"/>
      <name val="Calibri"/>
      <family val="2"/>
      <scheme val="minor"/>
    </font>
    <font>
      <sz val="11"/>
      <color theme="10"/>
      <name val="Calibri"/>
      <family val="2"/>
      <scheme val="minor"/>
    </font>
    <font>
      <sz val="10"/>
      <color theme="1"/>
      <name val="Calibri"/>
      <family val="2"/>
      <scheme val="minor"/>
    </font>
    <font>
      <sz val="9"/>
      <color theme="1"/>
      <name val="Calibri"/>
      <family val="2"/>
      <scheme val="minor"/>
    </font>
    <font>
      <b/>
      <sz val="14"/>
      <name val="Calibri"/>
      <family val="2"/>
      <scheme val="minor"/>
    </font>
    <font>
      <b/>
      <sz val="11"/>
      <name val="Calibri"/>
      <family val="2"/>
      <scheme val="minor"/>
    </font>
    <font>
      <sz val="14"/>
      <name val="Calibri"/>
      <family val="2"/>
      <scheme val="minor"/>
    </font>
    <font>
      <b/>
      <sz val="12"/>
      <name val="Calibri"/>
      <family val="2"/>
      <scheme val="minor"/>
    </font>
    <font>
      <sz val="12"/>
      <name val="Calibri"/>
      <family val="2"/>
      <scheme val="minor"/>
    </font>
    <font>
      <b/>
      <i/>
      <sz val="12"/>
      <name val="Calibri"/>
      <family val="2"/>
      <scheme val="minor"/>
    </font>
    <font>
      <b/>
      <sz val="16"/>
      <name val="Calibri"/>
      <family val="2"/>
      <scheme val="minor"/>
    </font>
    <font>
      <b/>
      <sz val="9"/>
      <color theme="1"/>
      <name val="Calibri"/>
      <family val="2"/>
      <scheme val="minor"/>
    </font>
    <font>
      <b/>
      <sz val="11"/>
      <color rgb="FFFF0000"/>
      <name val="Calibri"/>
      <family val="2"/>
      <scheme val="minor"/>
    </font>
    <font>
      <sz val="12"/>
      <color theme="1"/>
      <name val="Calibri"/>
      <family val="2"/>
      <scheme val="minor"/>
    </font>
    <font>
      <b/>
      <u/>
      <sz val="14"/>
      <color theme="1"/>
      <name val="Calibri"/>
      <family val="2"/>
      <scheme val="minor"/>
    </font>
    <font>
      <b/>
      <sz val="10"/>
      <color theme="1"/>
      <name val="Calibri"/>
      <family val="2"/>
      <scheme val="minor"/>
    </font>
    <font>
      <b/>
      <i/>
      <sz val="11"/>
      <color rgb="FFFF0000"/>
      <name val="Calibri"/>
      <family val="2"/>
      <scheme val="minor"/>
    </font>
    <font>
      <i/>
      <sz val="11"/>
      <color rgb="FFFF0000"/>
      <name val="Calibri"/>
      <family val="2"/>
      <scheme val="minor"/>
    </font>
    <font>
      <b/>
      <sz val="11"/>
      <color theme="5" tint="-0.499984740745262"/>
      <name val="Calibri"/>
      <family val="2"/>
      <scheme val="minor"/>
    </font>
    <font>
      <b/>
      <u/>
      <sz val="12"/>
      <color theme="5" tint="-0.499984740745262"/>
      <name val="Calibri"/>
      <family val="2"/>
      <scheme val="minor"/>
    </font>
    <font>
      <b/>
      <i/>
      <u/>
      <sz val="10"/>
      <color theme="1"/>
      <name val="Calibri"/>
      <family val="2"/>
      <scheme val="minor"/>
    </font>
    <font>
      <b/>
      <i/>
      <sz val="9"/>
      <color rgb="FFFF0000"/>
      <name val="Calibri"/>
      <family val="2"/>
      <scheme val="minor"/>
    </font>
    <font>
      <b/>
      <i/>
      <u/>
      <sz val="10"/>
      <color rgb="FFFF0000"/>
      <name val="Calibri"/>
      <family val="2"/>
      <scheme val="minor"/>
    </font>
    <font>
      <b/>
      <u/>
      <sz val="14"/>
      <name val="Calibri"/>
      <family val="2"/>
      <scheme val="minor"/>
    </font>
    <font>
      <u/>
      <sz val="11"/>
      <color theme="1"/>
      <name val="Calibri"/>
      <family val="2"/>
      <scheme val="minor"/>
    </font>
    <font>
      <b/>
      <i/>
      <sz val="11"/>
      <color theme="1"/>
      <name val="Calibri"/>
      <family val="2"/>
      <scheme val="minor"/>
    </font>
    <font>
      <b/>
      <u/>
      <sz val="11"/>
      <color theme="4" tint="-0.249977111117893"/>
      <name val="Calibri"/>
      <family val="2"/>
      <scheme val="minor"/>
    </font>
    <font>
      <b/>
      <i/>
      <u/>
      <sz val="11"/>
      <color theme="1"/>
      <name val="Calibri"/>
      <family val="2"/>
      <scheme val="minor"/>
    </font>
    <font>
      <b/>
      <sz val="8"/>
      <color theme="1"/>
      <name val="Calibri"/>
      <family val="2"/>
      <scheme val="minor"/>
    </font>
    <font>
      <b/>
      <i/>
      <sz val="18"/>
      <color theme="1"/>
      <name val="Arial"/>
      <family val="2"/>
    </font>
    <font>
      <sz val="11"/>
      <color theme="1"/>
      <name val="Arial"/>
      <family val="2"/>
    </font>
    <font>
      <b/>
      <i/>
      <sz val="10"/>
      <color rgb="FFFF0000"/>
      <name val="Calibri"/>
      <family val="2"/>
      <scheme val="minor"/>
    </font>
    <font>
      <sz val="8"/>
      <color rgb="FF000000"/>
      <name val="Segoe UI"/>
      <family val="2"/>
    </font>
    <font>
      <sz val="11"/>
      <color theme="0"/>
      <name val="Calibri"/>
      <family val="2"/>
      <scheme val="minor"/>
    </font>
    <font>
      <sz val="9"/>
      <name val="Calibri"/>
      <family val="2"/>
      <scheme val="minor"/>
    </font>
    <font>
      <b/>
      <i/>
      <sz val="12"/>
      <color rgb="FFFF0000"/>
      <name val="Calibri"/>
      <family val="2"/>
      <scheme val="minor"/>
    </font>
    <font>
      <b/>
      <i/>
      <u/>
      <sz val="14"/>
      <color rgb="FFFF0000"/>
      <name val="Calibri"/>
      <family val="2"/>
      <scheme val="minor"/>
    </font>
    <font>
      <b/>
      <i/>
      <sz val="10"/>
      <color theme="1"/>
      <name val="Calibri"/>
      <family val="2"/>
      <scheme val="minor"/>
    </font>
    <font>
      <sz val="11"/>
      <color theme="0" tint="-4.9989318521683403E-2"/>
      <name val="Calibri"/>
      <family val="2"/>
      <scheme val="minor"/>
    </font>
    <font>
      <b/>
      <i/>
      <sz val="8.5"/>
      <color rgb="FFFF0000"/>
      <name val="Calibri"/>
      <family val="2"/>
      <scheme val="minor"/>
    </font>
    <font>
      <b/>
      <i/>
      <sz val="9"/>
      <color theme="1"/>
      <name val="Calibri"/>
      <family val="2"/>
      <scheme val="minor"/>
    </font>
    <font>
      <b/>
      <sz val="10.5"/>
      <color theme="1"/>
      <name val="Calibri"/>
      <family val="2"/>
      <scheme val="minor"/>
    </font>
    <font>
      <sz val="10.5"/>
      <color theme="1"/>
      <name val="Calibri"/>
      <family val="2"/>
      <scheme val="minor"/>
    </font>
    <font>
      <sz val="8"/>
      <name val="Calibri"/>
      <family val="2"/>
      <scheme val="minor"/>
    </font>
    <font>
      <b/>
      <i/>
      <sz val="9.5"/>
      <color theme="1"/>
      <name val="Calibri"/>
      <family val="2"/>
      <scheme val="minor"/>
    </font>
    <font>
      <b/>
      <sz val="9.5"/>
      <color theme="1"/>
      <name val="Calibri"/>
      <family val="2"/>
      <scheme val="minor"/>
    </font>
    <font>
      <b/>
      <sz val="10"/>
      <color theme="1"/>
      <name val="Constantia"/>
      <family val="1"/>
    </font>
    <font>
      <vertAlign val="superscript"/>
      <sz val="10"/>
      <color theme="1"/>
      <name val="Calibri"/>
      <family val="2"/>
      <scheme val="minor"/>
    </font>
    <font>
      <b/>
      <sz val="9.5"/>
      <color theme="1"/>
      <name val="Constantia"/>
      <family val="1"/>
    </font>
    <font>
      <i/>
      <sz val="12"/>
      <color theme="1"/>
      <name val="Calibri"/>
      <family val="2"/>
      <scheme val="minor"/>
    </font>
    <font>
      <sz val="10"/>
      <color theme="9"/>
      <name val="Calibri"/>
      <family val="2"/>
      <scheme val="minor"/>
    </font>
    <font>
      <sz val="10"/>
      <name val="Calibri"/>
      <family val="2"/>
      <scheme val="minor"/>
    </font>
    <font>
      <b/>
      <sz val="10"/>
      <name val="Calibri"/>
      <family val="2"/>
      <scheme val="minor"/>
    </font>
    <font>
      <b/>
      <u/>
      <sz val="12"/>
      <color theme="1"/>
      <name val="Calibri"/>
      <family val="2"/>
      <scheme val="minor"/>
    </font>
    <font>
      <b/>
      <u/>
      <sz val="12"/>
      <color rgb="FFFF0000"/>
      <name val="Calibri"/>
      <family val="2"/>
      <scheme val="minor"/>
    </font>
    <font>
      <b/>
      <u/>
      <sz val="11"/>
      <color theme="1"/>
      <name val="Calibri"/>
      <family val="2"/>
      <scheme val="minor"/>
    </font>
    <font>
      <sz val="11"/>
      <color rgb="FFFF0000"/>
      <name val="Calibri"/>
      <family val="2"/>
      <scheme val="minor"/>
    </font>
    <font>
      <i/>
      <sz val="9"/>
      <color theme="1"/>
      <name val="Calibri"/>
      <family val="2"/>
      <scheme val="minor"/>
    </font>
  </fonts>
  <fills count="25">
    <fill>
      <patternFill patternType="none"/>
    </fill>
    <fill>
      <patternFill patternType="gray125"/>
    </fill>
    <fill>
      <patternFill patternType="solid">
        <fgColor rgb="FFF2F2F2"/>
      </patternFill>
    </fill>
    <fill>
      <patternFill patternType="solid">
        <fgColor rgb="FFF2F2F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92D050"/>
        <bgColor indexed="64"/>
      </patternFill>
    </fill>
    <fill>
      <patternFill patternType="solid">
        <fgColor rgb="FFFF7C8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4" tint="0.39997558519241921"/>
        <bgColor indexed="64"/>
      </patternFill>
    </fill>
  </fills>
  <borders count="70">
    <border>
      <left/>
      <right/>
      <top/>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rgb="FF3F3F3F"/>
      </left>
      <right style="thin">
        <color rgb="FF3F3F3F"/>
      </right>
      <top style="thin">
        <color rgb="FF3F3F3F"/>
      </top>
      <bottom/>
      <diagonal/>
    </border>
    <border>
      <left style="thin">
        <color rgb="FF3F3F3F"/>
      </left>
      <right style="thin">
        <color rgb="FF3F3F3F"/>
      </right>
      <top/>
      <bottom/>
      <diagonal/>
    </border>
    <border>
      <left style="thin">
        <color rgb="FF3F3F3F"/>
      </left>
      <right style="thin">
        <color rgb="FF3F3F3F"/>
      </right>
      <top/>
      <bottom style="thin">
        <color rgb="FF3F3F3F"/>
      </bottom>
      <diagonal/>
    </border>
    <border>
      <left style="thin">
        <color rgb="FF3F3F3F"/>
      </left>
      <right/>
      <top/>
      <bottom style="thin">
        <color indexed="64"/>
      </bottom>
      <diagonal/>
    </border>
    <border>
      <left style="thin">
        <color rgb="FF3F3F3F"/>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rgb="FF3F3F3F"/>
      </left>
      <right/>
      <top style="thin">
        <color indexed="64"/>
      </top>
      <bottom style="medium">
        <color indexed="64"/>
      </bottom>
      <diagonal/>
    </border>
    <border>
      <left style="thin">
        <color rgb="FF3F3F3F"/>
      </left>
      <right style="thin">
        <color rgb="FF3F3F3F"/>
      </right>
      <top style="thin">
        <color indexed="64"/>
      </top>
      <bottom style="medium">
        <color indexed="64"/>
      </bottom>
      <diagonal/>
    </border>
    <border>
      <left style="thin">
        <color rgb="FF3F3F3F"/>
      </left>
      <right/>
      <top/>
      <bottom/>
      <diagonal/>
    </border>
    <border>
      <left style="thin">
        <color rgb="FF3F3F3F"/>
      </left>
      <right style="thin">
        <color rgb="FF3F3F3F"/>
      </right>
      <top style="medium">
        <color indexed="64"/>
      </top>
      <bottom/>
      <diagonal/>
    </border>
    <border>
      <left style="medium">
        <color theme="0"/>
      </left>
      <right/>
      <top style="medium">
        <color theme="0"/>
      </top>
      <bottom style="medium">
        <color theme="0"/>
      </bottom>
      <diagonal/>
    </border>
    <border>
      <left/>
      <right style="medium">
        <color theme="0"/>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thin">
        <color rgb="FF3F3F3F"/>
      </left>
      <right/>
      <top style="thin">
        <color rgb="FF3F3F3F"/>
      </top>
      <bottom style="thin">
        <color rgb="FF3F3F3F"/>
      </bottom>
      <diagonal/>
    </border>
    <border>
      <left style="thin">
        <color rgb="FF3F3F3F"/>
      </left>
      <right/>
      <top style="thin">
        <color indexed="64"/>
      </top>
      <bottom/>
      <diagonal/>
    </border>
    <border>
      <left style="thin">
        <color rgb="FF3F3F3F"/>
      </left>
      <right/>
      <top style="thin">
        <color rgb="FF3F3F3F"/>
      </top>
      <bottom/>
      <diagonal/>
    </border>
    <border>
      <left style="thin">
        <color rgb="FF3F3F3F"/>
      </left>
      <right style="thin">
        <color indexed="64"/>
      </right>
      <top style="thin">
        <color rgb="FF3F3F3F"/>
      </top>
      <bottom style="thin">
        <color indexed="64"/>
      </bottom>
      <diagonal/>
    </border>
    <border>
      <left style="thin">
        <color rgb="FF3F3F3F"/>
      </left>
      <right style="thin">
        <color rgb="FF3F3F3F"/>
      </right>
      <top style="thin">
        <color rgb="FF3F3F3F"/>
      </top>
      <bottom style="thin">
        <color indexed="64"/>
      </bottom>
      <diagonal/>
    </border>
    <border>
      <left style="medium">
        <color theme="0"/>
      </left>
      <right/>
      <top/>
      <bottom style="medium">
        <color theme="0"/>
      </bottom>
      <diagonal/>
    </border>
    <border>
      <left/>
      <right style="medium">
        <color theme="0"/>
      </right>
      <top/>
      <bottom style="medium">
        <color theme="0"/>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theme="0"/>
      </left>
      <right style="thin">
        <color indexed="64"/>
      </right>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theme="0"/>
      </right>
      <top/>
      <bottom/>
      <diagonal/>
    </border>
    <border>
      <left style="thin">
        <color theme="0"/>
      </left>
      <right/>
      <top style="thin">
        <color theme="0"/>
      </top>
      <bottom style="thin">
        <color theme="0"/>
      </bottom>
      <diagonal/>
    </border>
    <border>
      <left/>
      <right/>
      <top style="thin">
        <color indexed="64"/>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s>
  <cellStyleXfs count="4">
    <xf numFmtId="0" fontId="0" fillId="0" borderId="0"/>
    <xf numFmtId="44" fontId="1" fillId="0" borderId="0" applyFont="0" applyFill="0" applyBorder="0" applyAlignment="0" applyProtection="0"/>
    <xf numFmtId="0" fontId="2" fillId="2" borderId="1" applyNumberFormat="0" applyAlignment="0" applyProtection="0"/>
    <xf numFmtId="0" fontId="8" fillId="0" borderId="0" applyNumberFormat="0" applyFill="0" applyBorder="0" applyAlignment="0" applyProtection="0"/>
  </cellStyleXfs>
  <cellXfs count="701">
    <xf numFmtId="0" fontId="0" fillId="0" borderId="0" xfId="0"/>
    <xf numFmtId="0" fontId="0" fillId="0" borderId="0" xfId="0" applyAlignment="1">
      <alignment vertical="center" wrapText="1"/>
    </xf>
    <xf numFmtId="0" fontId="0" fillId="0" borderId="0" xfId="0" applyAlignment="1">
      <alignment horizontal="center" vertical="center"/>
    </xf>
    <xf numFmtId="0" fontId="0" fillId="9" borderId="0" xfId="0" applyFill="1"/>
    <xf numFmtId="0" fontId="8" fillId="9" borderId="0" xfId="3" applyFill="1" applyAlignment="1">
      <alignment vertical="top"/>
    </xf>
    <xf numFmtId="0" fontId="0" fillId="9" borderId="0" xfId="0" applyFill="1" applyAlignment="1">
      <alignment vertical="top"/>
    </xf>
    <xf numFmtId="0" fontId="12" fillId="9" borderId="0" xfId="0" applyFont="1" applyFill="1"/>
    <xf numFmtId="0" fontId="0" fillId="0" borderId="0" xfId="0" applyFill="1"/>
    <xf numFmtId="0" fontId="0" fillId="0" borderId="0" xfId="0" applyAlignment="1">
      <alignment vertical="center"/>
    </xf>
    <xf numFmtId="0" fontId="0" fillId="0" borderId="0" xfId="0" applyAlignment="1">
      <alignment horizontal="center"/>
    </xf>
    <xf numFmtId="0" fontId="0" fillId="6" borderId="0" xfId="0" applyFill="1"/>
    <xf numFmtId="0" fontId="3" fillId="0" borderId="0" xfId="0" applyFont="1" applyAlignment="1">
      <alignment horizontal="center"/>
    </xf>
    <xf numFmtId="0" fontId="0" fillId="0" borderId="0" xfId="0" applyBorder="1"/>
    <xf numFmtId="0" fontId="7" fillId="0" borderId="0" xfId="0" applyFont="1"/>
    <xf numFmtId="0" fontId="7" fillId="0" borderId="0" xfId="0" applyFont="1" applyAlignment="1">
      <alignment wrapText="1"/>
    </xf>
    <xf numFmtId="44" fontId="7" fillId="0" borderId="0" xfId="1" applyFont="1" applyAlignment="1">
      <alignment horizontal="center"/>
    </xf>
    <xf numFmtId="0" fontId="7" fillId="4" borderId="0" xfId="0" applyFont="1" applyFill="1" applyAlignment="1">
      <alignment wrapText="1"/>
    </xf>
    <xf numFmtId="0" fontId="19" fillId="11" borderId="0" xfId="0" applyFont="1" applyFill="1" applyAlignment="1">
      <alignment wrapText="1"/>
    </xf>
    <xf numFmtId="44" fontId="20" fillId="0" borderId="0" xfId="1" applyFont="1" applyAlignment="1">
      <alignment horizontal="center"/>
    </xf>
    <xf numFmtId="0" fontId="20" fillId="0" borderId="0" xfId="0" applyFont="1" applyAlignment="1">
      <alignment wrapText="1"/>
    </xf>
    <xf numFmtId="0" fontId="21" fillId="11" borderId="0" xfId="0" applyFont="1" applyFill="1" applyAlignment="1">
      <alignment wrapText="1"/>
    </xf>
    <xf numFmtId="44" fontId="22" fillId="5" borderId="0" xfId="1" applyFont="1" applyFill="1" applyBorder="1" applyAlignment="1">
      <alignment horizontal="center" wrapText="1"/>
    </xf>
    <xf numFmtId="0" fontId="7" fillId="0" borderId="0" xfId="0" applyFont="1" applyAlignment="1">
      <alignment horizontal="center"/>
    </xf>
    <xf numFmtId="0" fontId="19" fillId="11" borderId="0" xfId="0" applyFont="1" applyFill="1" applyAlignment="1">
      <alignment horizontal="center"/>
    </xf>
    <xf numFmtId="44" fontId="19" fillId="11" borderId="0" xfId="1" applyFont="1" applyFill="1" applyAlignment="1">
      <alignment horizontal="center"/>
    </xf>
    <xf numFmtId="0" fontId="0" fillId="0" borderId="0" xfId="0" applyAlignment="1">
      <alignment wrapText="1"/>
    </xf>
    <xf numFmtId="44" fontId="0" fillId="0" borderId="0" xfId="0" applyNumberFormat="1"/>
    <xf numFmtId="0" fontId="0" fillId="0" borderId="0" xfId="0" applyAlignment="1">
      <alignment horizontal="center" wrapText="1"/>
    </xf>
    <xf numFmtId="0" fontId="0" fillId="0" borderId="0" xfId="0" applyAlignment="1">
      <alignment horizontal="center" vertical="center" wrapText="1"/>
    </xf>
    <xf numFmtId="0" fontId="0" fillId="10" borderId="0" xfId="0" applyFill="1"/>
    <xf numFmtId="0" fontId="0" fillId="10" borderId="0" xfId="0" applyFill="1" applyAlignment="1">
      <alignment wrapText="1"/>
    </xf>
    <xf numFmtId="0" fontId="0" fillId="10" borderId="0" xfId="0" applyFill="1" applyAlignment="1">
      <alignment horizontal="center" vertical="center"/>
    </xf>
    <xf numFmtId="0" fontId="3" fillId="0" borderId="0" xfId="0" applyFont="1" applyAlignment="1">
      <alignment horizontal="center" vertical="center" wrapText="1"/>
    </xf>
    <xf numFmtId="44" fontId="0" fillId="0" borderId="0" xfId="1" applyFont="1" applyAlignment="1">
      <alignment horizontal="center" vertical="center"/>
    </xf>
    <xf numFmtId="0" fontId="0" fillId="0" borderId="23" xfId="0" applyBorder="1" applyAlignment="1">
      <alignment horizontal="center"/>
    </xf>
    <xf numFmtId="0" fontId="3" fillId="0" borderId="0" xfId="0" applyFont="1" applyFill="1" applyAlignment="1">
      <alignment horizontal="center" wrapText="1"/>
    </xf>
    <xf numFmtId="0" fontId="0" fillId="0" borderId="16" xfId="0" applyBorder="1" applyAlignment="1">
      <alignment horizontal="center"/>
    </xf>
    <xf numFmtId="0" fontId="0" fillId="0" borderId="0" xfId="0" applyFill="1" applyAlignment="1">
      <alignment wrapText="1"/>
    </xf>
    <xf numFmtId="0" fontId="0" fillId="0" borderId="0" xfId="0" applyFill="1" applyAlignment="1">
      <alignment horizontal="center" vertical="center"/>
    </xf>
    <xf numFmtId="44" fontId="0" fillId="0" borderId="0" xfId="1" applyFont="1" applyFill="1"/>
    <xf numFmtId="0" fontId="0" fillId="0" borderId="0" xfId="0" applyAlignment="1">
      <alignment horizontal="center"/>
    </xf>
    <xf numFmtId="0" fontId="0" fillId="9" borderId="0" xfId="0" applyFill="1" applyAlignment="1">
      <alignment horizontal="center" vertical="center"/>
    </xf>
    <xf numFmtId="0" fontId="0" fillId="9" borderId="0" xfId="0" applyFill="1" applyAlignment="1">
      <alignment horizontal="center" vertical="center" wrapText="1"/>
    </xf>
    <xf numFmtId="0" fontId="0" fillId="9" borderId="29" xfId="0" applyFill="1" applyBorder="1" applyAlignment="1">
      <alignment horizontal="center" vertical="center" wrapText="1"/>
    </xf>
    <xf numFmtId="44" fontId="0" fillId="9" borderId="0" xfId="1" applyFont="1" applyFill="1"/>
    <xf numFmtId="0" fontId="30" fillId="7" borderId="5" xfId="0" applyFont="1" applyFill="1" applyBorder="1" applyAlignment="1">
      <alignment horizontal="center"/>
    </xf>
    <xf numFmtId="0" fontId="30" fillId="7" borderId="5" xfId="0" applyFont="1" applyFill="1" applyBorder="1" applyAlignment="1">
      <alignment horizontal="center" wrapText="1"/>
    </xf>
    <xf numFmtId="0" fontId="31" fillId="9" borderId="0" xfId="0" applyFont="1" applyFill="1" applyAlignment="1">
      <alignment horizontal="left"/>
    </xf>
    <xf numFmtId="0" fontId="31" fillId="9" borderId="0" xfId="0" applyFont="1" applyFill="1"/>
    <xf numFmtId="0" fontId="7" fillId="6" borderId="1" xfId="2" applyFont="1" applyFill="1" applyAlignment="1">
      <alignment wrapText="1"/>
    </xf>
    <xf numFmtId="0" fontId="7" fillId="6" borderId="1" xfId="2" applyFont="1" applyFill="1" applyAlignment="1"/>
    <xf numFmtId="0" fontId="7" fillId="6" borderId="0" xfId="0" applyFont="1" applyFill="1" applyAlignment="1">
      <alignment wrapText="1"/>
    </xf>
    <xf numFmtId="0" fontId="7" fillId="6" borderId="20" xfId="0" applyFont="1" applyFill="1" applyBorder="1" applyAlignment="1">
      <alignment wrapText="1"/>
    </xf>
    <xf numFmtId="0" fontId="7" fillId="6" borderId="21" xfId="0" applyFont="1" applyFill="1" applyBorder="1" applyAlignment="1">
      <alignment wrapText="1"/>
    </xf>
    <xf numFmtId="0" fontId="17" fillId="6" borderId="21" xfId="0" applyFont="1" applyFill="1" applyBorder="1" applyAlignment="1">
      <alignment wrapText="1"/>
    </xf>
    <xf numFmtId="0" fontId="17" fillId="6" borderId="20" xfId="0" applyFont="1" applyFill="1" applyBorder="1" applyAlignment="1">
      <alignment wrapText="1"/>
    </xf>
    <xf numFmtId="44" fontId="17" fillId="7" borderId="31" xfId="1" applyFont="1" applyFill="1" applyBorder="1" applyAlignment="1">
      <alignment horizontal="center"/>
    </xf>
    <xf numFmtId="0" fontId="7" fillId="9" borderId="0" xfId="0" applyFont="1" applyFill="1" applyAlignment="1">
      <alignment wrapText="1"/>
    </xf>
    <xf numFmtId="0" fontId="7" fillId="9" borderId="0" xfId="0" applyFont="1" applyFill="1" applyAlignment="1">
      <alignment horizontal="center"/>
    </xf>
    <xf numFmtId="44" fontId="7" fillId="9" borderId="0" xfId="1" applyFont="1" applyFill="1" applyAlignment="1">
      <alignment horizontal="center"/>
    </xf>
    <xf numFmtId="0" fontId="7" fillId="9" borderId="5" xfId="0" applyFont="1" applyFill="1" applyBorder="1" applyAlignment="1">
      <alignment wrapText="1"/>
    </xf>
    <xf numFmtId="0" fontId="9" fillId="7" borderId="31" xfId="2" applyFont="1" applyFill="1" applyBorder="1" applyAlignment="1">
      <alignment horizontal="center" wrapText="1"/>
    </xf>
    <xf numFmtId="0" fontId="9" fillId="7" borderId="30" xfId="0" applyFont="1" applyFill="1" applyBorder="1" applyAlignment="1">
      <alignment horizontal="center" wrapText="1"/>
    </xf>
    <xf numFmtId="0" fontId="3" fillId="14" borderId="3" xfId="0" applyFont="1" applyFill="1" applyBorder="1" applyAlignment="1">
      <alignment horizontal="center"/>
    </xf>
    <xf numFmtId="0" fontId="0" fillId="0" borderId="15" xfId="0" applyBorder="1" applyAlignment="1">
      <alignment horizontal="center"/>
    </xf>
    <xf numFmtId="44" fontId="3" fillId="0" borderId="0" xfId="0" applyNumberFormat="1" applyFont="1"/>
    <xf numFmtId="2" fontId="0" fillId="0" borderId="0" xfId="0" applyNumberFormat="1"/>
    <xf numFmtId="0" fontId="0" fillId="0" borderId="7" xfId="0" applyBorder="1"/>
    <xf numFmtId="2" fontId="0" fillId="0" borderId="7" xfId="0" applyNumberFormat="1" applyBorder="1"/>
    <xf numFmtId="0" fontId="0" fillId="0" borderId="7" xfId="0" applyBorder="1" applyAlignment="1">
      <alignment horizontal="center"/>
    </xf>
    <xf numFmtId="2" fontId="0" fillId="0" borderId="7" xfId="0" applyNumberFormat="1" applyBorder="1" applyAlignment="1">
      <alignment horizontal="center"/>
    </xf>
    <xf numFmtId="2" fontId="0" fillId="0" borderId="0" xfId="0" applyNumberFormat="1" applyAlignment="1">
      <alignment horizontal="center"/>
    </xf>
    <xf numFmtId="2" fontId="0" fillId="0" borderId="9" xfId="0" applyNumberFormat="1" applyBorder="1"/>
    <xf numFmtId="2" fontId="0" fillId="0" borderId="13" xfId="0" applyNumberFormat="1" applyBorder="1" applyAlignment="1">
      <alignment horizontal="center"/>
    </xf>
    <xf numFmtId="2" fontId="0" fillId="0" borderId="9" xfId="0" applyNumberFormat="1" applyBorder="1" applyAlignment="1">
      <alignment horizontal="center"/>
    </xf>
    <xf numFmtId="2" fontId="3" fillId="0" borderId="0" xfId="0" applyNumberFormat="1" applyFont="1" applyAlignment="1">
      <alignment horizontal="center"/>
    </xf>
    <xf numFmtId="2" fontId="0" fillId="0" borderId="13" xfId="0" applyNumberFormat="1" applyBorder="1"/>
    <xf numFmtId="0" fontId="23" fillId="7" borderId="13" xfId="0" applyFont="1" applyFill="1" applyBorder="1" applyAlignment="1">
      <alignment horizontal="center"/>
    </xf>
    <xf numFmtId="0" fontId="23" fillId="7" borderId="9" xfId="0" applyFont="1" applyFill="1" applyBorder="1" applyAlignment="1">
      <alignment horizontal="center"/>
    </xf>
    <xf numFmtId="0" fontId="3" fillId="7" borderId="3" xfId="0" applyFont="1" applyFill="1" applyBorder="1" applyAlignment="1">
      <alignment horizontal="center"/>
    </xf>
    <xf numFmtId="0" fontId="23" fillId="16" borderId="7" xfId="0" applyFont="1" applyFill="1" applyBorder="1" applyAlignment="1">
      <alignment horizontal="center" wrapText="1"/>
    </xf>
    <xf numFmtId="0" fontId="23" fillId="16" borderId="0" xfId="0" applyFont="1" applyFill="1" applyAlignment="1">
      <alignment horizontal="center" wrapText="1"/>
    </xf>
    <xf numFmtId="0" fontId="23" fillId="7" borderId="15" xfId="0" applyFont="1" applyFill="1" applyBorder="1" applyAlignment="1">
      <alignment horizontal="center"/>
    </xf>
    <xf numFmtId="2" fontId="0" fillId="7" borderId="23" xfId="0" applyNumberFormat="1" applyFill="1" applyBorder="1" applyAlignment="1">
      <alignment horizontal="center"/>
    </xf>
    <xf numFmtId="2" fontId="0" fillId="7" borderId="15" xfId="0" applyNumberFormat="1" applyFill="1" applyBorder="1" applyAlignment="1">
      <alignment horizontal="center"/>
    </xf>
    <xf numFmtId="2" fontId="3" fillId="7" borderId="23" xfId="0" applyNumberFormat="1" applyFont="1" applyFill="1" applyBorder="1" applyAlignment="1">
      <alignment horizontal="center"/>
    </xf>
    <xf numFmtId="2" fontId="3" fillId="7" borderId="15" xfId="0" applyNumberFormat="1" applyFont="1" applyFill="1" applyBorder="1" applyAlignment="1">
      <alignment horizontal="center"/>
    </xf>
    <xf numFmtId="0" fontId="23" fillId="12" borderId="13" xfId="0" applyFont="1" applyFill="1" applyBorder="1" applyAlignment="1">
      <alignment horizontal="center" wrapText="1"/>
    </xf>
    <xf numFmtId="0" fontId="28" fillId="7" borderId="31" xfId="2" applyFont="1" applyFill="1" applyBorder="1" applyAlignment="1">
      <alignment horizontal="center" wrapText="1"/>
    </xf>
    <xf numFmtId="0" fontId="0" fillId="0" borderId="0" xfId="0" applyAlignment="1">
      <alignment horizontal="center"/>
    </xf>
    <xf numFmtId="0" fontId="0" fillId="9" borderId="0" xfId="0" applyFill="1" applyAlignment="1">
      <alignment horizontal="center"/>
    </xf>
    <xf numFmtId="0" fontId="0" fillId="9" borderId="0" xfId="0" applyFill="1" applyAlignment="1">
      <alignment wrapText="1"/>
    </xf>
    <xf numFmtId="0" fontId="0" fillId="17" borderId="0" xfId="0" applyFill="1"/>
    <xf numFmtId="0" fontId="0" fillId="0" borderId="10" xfId="0" applyBorder="1"/>
    <xf numFmtId="0" fontId="0" fillId="0" borderId="8" xfId="0" applyBorder="1" applyAlignment="1">
      <alignment horizontal="center"/>
    </xf>
    <xf numFmtId="0" fontId="0" fillId="0" borderId="0" xfId="0" applyBorder="1" applyAlignment="1">
      <alignment horizontal="center"/>
    </xf>
    <xf numFmtId="0" fontId="0" fillId="0" borderId="13" xfId="0" applyBorder="1"/>
    <xf numFmtId="0" fontId="0" fillId="0" borderId="12" xfId="0" applyBorder="1"/>
    <xf numFmtId="0" fontId="3" fillId="0" borderId="0" xfId="0" applyFont="1" applyAlignment="1">
      <alignment vertical="center" wrapText="1"/>
    </xf>
    <xf numFmtId="44" fontId="3" fillId="0" borderId="0" xfId="0" applyNumberFormat="1" applyFont="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3" fillId="0" borderId="9" xfId="0" applyFont="1" applyBorder="1" applyAlignment="1">
      <alignment vertical="center" wrapText="1"/>
    </xf>
    <xf numFmtId="0" fontId="3" fillId="0" borderId="9" xfId="0" applyFont="1" applyBorder="1" applyAlignment="1">
      <alignment horizontal="center" vertical="center"/>
    </xf>
    <xf numFmtId="44" fontId="0" fillId="0" borderId="0" xfId="0" applyNumberFormat="1" applyFont="1" applyAlignment="1">
      <alignment vertical="center"/>
    </xf>
    <xf numFmtId="44" fontId="0" fillId="0" borderId="0" xfId="0" applyNumberFormat="1" applyAlignment="1">
      <alignment vertical="center"/>
    </xf>
    <xf numFmtId="44" fontId="0" fillId="0" borderId="12" xfId="0" applyNumberFormat="1" applyBorder="1"/>
    <xf numFmtId="44" fontId="0" fillId="0" borderId="39" xfId="0" applyNumberFormat="1" applyBorder="1"/>
    <xf numFmtId="44" fontId="0" fillId="0" borderId="40" xfId="0" applyNumberFormat="1" applyBorder="1"/>
    <xf numFmtId="0" fontId="0" fillId="0" borderId="8" xfId="0" applyBorder="1"/>
    <xf numFmtId="0" fontId="0" fillId="17" borderId="0" xfId="0" applyFill="1" applyBorder="1"/>
    <xf numFmtId="0" fontId="0" fillId="18" borderId="0" xfId="0" applyFill="1"/>
    <xf numFmtId="0" fontId="3" fillId="0" borderId="0" xfId="0" applyFont="1" applyAlignment="1">
      <alignment horizontal="right" vertical="center" wrapText="1"/>
    </xf>
    <xf numFmtId="0" fontId="0" fillId="0" borderId="0" xfId="0" applyAlignment="1">
      <alignment horizontal="center"/>
    </xf>
    <xf numFmtId="0" fontId="7" fillId="0" borderId="1" xfId="2" applyFont="1" applyFill="1" applyAlignment="1" applyProtection="1">
      <alignment horizontal="center"/>
      <protection locked="0"/>
    </xf>
    <xf numFmtId="0" fontId="7" fillId="0" borderId="1" xfId="2" applyFont="1" applyFill="1" applyAlignment="1" applyProtection="1">
      <alignment horizontal="center" wrapText="1"/>
      <protection locked="0"/>
    </xf>
    <xf numFmtId="0" fontId="0" fillId="0" borderId="16"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16" xfId="0" applyFill="1" applyBorder="1" applyAlignment="1" applyProtection="1">
      <alignment horizontal="center"/>
      <protection locked="0"/>
    </xf>
    <xf numFmtId="0" fontId="0" fillId="0" borderId="15" xfId="0" applyBorder="1" applyAlignment="1" applyProtection="1">
      <alignment horizontal="center"/>
      <protection locked="0"/>
    </xf>
    <xf numFmtId="0" fontId="3" fillId="9" borderId="0" xfId="0" applyFont="1" applyFill="1"/>
    <xf numFmtId="0" fontId="3" fillId="9" borderId="0" xfId="0" quotePrefix="1" applyFont="1" applyFill="1"/>
    <xf numFmtId="164" fontId="0" fillId="6" borderId="3" xfId="0" applyNumberFormat="1" applyFill="1" applyBorder="1" applyAlignment="1" applyProtection="1">
      <alignment horizontal="center" vertical="center"/>
      <protection locked="0"/>
    </xf>
    <xf numFmtId="0" fontId="0" fillId="6" borderId="0" xfId="0" applyFill="1" applyBorder="1" applyAlignment="1">
      <alignment horizontal="center" vertical="center"/>
    </xf>
    <xf numFmtId="0" fontId="0" fillId="6" borderId="8" xfId="0" applyFill="1" applyBorder="1" applyAlignment="1">
      <alignment horizontal="center" vertical="center"/>
    </xf>
    <xf numFmtId="164" fontId="0" fillId="6" borderId="0" xfId="0" applyNumberFormat="1" applyFill="1" applyBorder="1" applyAlignment="1">
      <alignment horizontal="center" vertical="center"/>
    </xf>
    <xf numFmtId="164" fontId="0" fillId="6" borderId="12" xfId="0" applyNumberFormat="1" applyFill="1" applyBorder="1" applyAlignment="1">
      <alignment horizontal="center" vertical="center"/>
    </xf>
    <xf numFmtId="0" fontId="5" fillId="6" borderId="8" xfId="0" applyFont="1" applyFill="1" applyBorder="1" applyAlignment="1">
      <alignment vertical="center"/>
    </xf>
    <xf numFmtId="0" fontId="0" fillId="6" borderId="8" xfId="0" applyFill="1" applyBorder="1"/>
    <xf numFmtId="0" fontId="0" fillId="6" borderId="11" xfId="0" applyFill="1" applyBorder="1"/>
    <xf numFmtId="0" fontId="5" fillId="6" borderId="0" xfId="0" applyFont="1" applyFill="1" applyBorder="1"/>
    <xf numFmtId="0" fontId="5" fillId="6" borderId="0" xfId="0" applyFont="1" applyFill="1" applyBorder="1" applyAlignment="1">
      <alignment vertical="center"/>
    </xf>
    <xf numFmtId="0" fontId="0" fillId="6" borderId="0" xfId="0" applyFill="1" applyBorder="1"/>
    <xf numFmtId="0" fontId="0" fillId="6" borderId="12" xfId="0" applyFill="1" applyBorder="1"/>
    <xf numFmtId="0" fontId="5" fillId="6" borderId="0" xfId="0" applyFont="1" applyFill="1" applyBorder="1" applyAlignment="1" applyProtection="1">
      <alignment vertical="top"/>
    </xf>
    <xf numFmtId="0" fontId="0" fillId="6" borderId="0" xfId="0" applyFill="1" applyBorder="1" applyAlignment="1" applyProtection="1">
      <alignment vertical="top"/>
    </xf>
    <xf numFmtId="0" fontId="5" fillId="6" borderId="9" xfId="0" applyFont="1" applyFill="1" applyBorder="1"/>
    <xf numFmtId="0" fontId="0" fillId="6" borderId="3" xfId="0" applyFill="1" applyBorder="1" applyAlignment="1" applyProtection="1">
      <alignment horizontal="center" vertical="center"/>
      <protection locked="0"/>
    </xf>
    <xf numFmtId="0" fontId="0" fillId="6" borderId="3" xfId="0" applyFill="1" applyBorder="1" applyAlignment="1" applyProtection="1">
      <alignment horizontal="center" vertical="center" wrapText="1"/>
      <protection locked="0"/>
    </xf>
    <xf numFmtId="0" fontId="39" fillId="9" borderId="0" xfId="0" quotePrefix="1" applyFont="1" applyFill="1"/>
    <xf numFmtId="0" fontId="39" fillId="9" borderId="0" xfId="0" applyFont="1" applyFill="1"/>
    <xf numFmtId="0" fontId="24" fillId="9" borderId="0" xfId="0" applyFont="1" applyFill="1"/>
    <xf numFmtId="0" fontId="0" fillId="6" borderId="0" xfId="0" applyFill="1" applyBorder="1" applyAlignment="1">
      <alignment horizontal="left" vertical="center"/>
    </xf>
    <xf numFmtId="0" fontId="0" fillId="6" borderId="13" xfId="0" applyFill="1" applyBorder="1"/>
    <xf numFmtId="0" fontId="0" fillId="0" borderId="0" xfId="0" applyAlignment="1">
      <alignment horizontal="left"/>
    </xf>
    <xf numFmtId="0" fontId="3" fillId="0" borderId="0" xfId="0" applyFont="1" applyBorder="1" applyAlignment="1">
      <alignment horizontal="center" vertical="center"/>
    </xf>
    <xf numFmtId="0" fontId="0" fillId="0" borderId="0" xfId="0" applyAlignment="1">
      <alignment horizontal="center"/>
    </xf>
    <xf numFmtId="0" fontId="0" fillId="0" borderId="0" xfId="0" quotePrefix="1"/>
    <xf numFmtId="0" fontId="3" fillId="6" borderId="4" xfId="0" applyFont="1" applyFill="1" applyBorder="1" applyAlignment="1" applyProtection="1">
      <alignment horizontal="center" vertical="center"/>
      <protection locked="0"/>
    </xf>
    <xf numFmtId="0" fontId="40" fillId="12" borderId="4" xfId="0" applyFont="1" applyFill="1" applyBorder="1" applyAlignment="1">
      <alignment horizontal="center" wrapText="1"/>
    </xf>
    <xf numFmtId="0" fontId="0" fillId="0" borderId="10"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27" xfId="0" applyBorder="1" applyAlignment="1" applyProtection="1">
      <alignment horizontal="center" wrapText="1"/>
      <protection locked="0"/>
    </xf>
    <xf numFmtId="0" fontId="27" fillId="12" borderId="15" xfId="0" applyFont="1" applyFill="1" applyBorder="1" applyAlignment="1">
      <alignment horizontal="center" wrapText="1"/>
    </xf>
    <xf numFmtId="0" fontId="23" fillId="12" borderId="15" xfId="0" applyFont="1" applyFill="1" applyBorder="1" applyAlignment="1">
      <alignment horizontal="center" wrapText="1"/>
    </xf>
    <xf numFmtId="0" fontId="0" fillId="0" borderId="23" xfId="0" applyBorder="1" applyAlignment="1" applyProtection="1">
      <alignment horizontal="center" wrapText="1"/>
      <protection locked="0"/>
    </xf>
    <xf numFmtId="0" fontId="23" fillId="10" borderId="24" xfId="0" applyFont="1" applyFill="1" applyBorder="1" applyAlignment="1">
      <alignment vertical="center"/>
    </xf>
    <xf numFmtId="0" fontId="23" fillId="10" borderId="24" xfId="0" applyFont="1" applyFill="1" applyBorder="1" applyAlignment="1">
      <alignment vertical="center" wrapText="1"/>
    </xf>
    <xf numFmtId="0" fontId="23" fillId="10" borderId="34" xfId="0" applyFont="1" applyFill="1" applyBorder="1" applyAlignment="1">
      <alignment vertical="center" wrapText="1"/>
    </xf>
    <xf numFmtId="0" fontId="15" fillId="12" borderId="24" xfId="0" applyFont="1" applyFill="1" applyBorder="1" applyAlignment="1">
      <alignment vertical="center"/>
    </xf>
    <xf numFmtId="0" fontId="15" fillId="12" borderId="24" xfId="0" applyFont="1" applyFill="1" applyBorder="1" applyAlignment="1">
      <alignment vertical="center" wrapText="1"/>
    </xf>
    <xf numFmtId="0" fontId="15" fillId="12" borderId="34" xfId="0" applyFont="1" applyFill="1" applyBorder="1" applyAlignment="1">
      <alignment vertical="center" wrapText="1"/>
    </xf>
    <xf numFmtId="0" fontId="15" fillId="14" borderId="24" xfId="0" applyFont="1" applyFill="1" applyBorder="1" applyAlignment="1">
      <alignment vertical="center"/>
    </xf>
    <xf numFmtId="0" fontId="15" fillId="14" borderId="24" xfId="0" applyFont="1" applyFill="1" applyBorder="1" applyAlignment="1">
      <alignment vertical="center" wrapText="1"/>
    </xf>
    <xf numFmtId="0" fontId="15" fillId="14" borderId="34" xfId="0" applyFont="1" applyFill="1" applyBorder="1" applyAlignment="1">
      <alignment vertical="center" wrapText="1"/>
    </xf>
    <xf numFmtId="0" fontId="15" fillId="13" borderId="24" xfId="0" applyFont="1" applyFill="1" applyBorder="1" applyAlignment="1">
      <alignment vertical="center"/>
    </xf>
    <xf numFmtId="0" fontId="15" fillId="13" borderId="24" xfId="0" applyFont="1" applyFill="1" applyBorder="1" applyAlignment="1">
      <alignment vertical="center" wrapText="1"/>
    </xf>
    <xf numFmtId="0" fontId="15" fillId="13" borderId="34" xfId="0" applyFont="1" applyFill="1" applyBorder="1" applyAlignment="1">
      <alignment vertical="center" wrapText="1"/>
    </xf>
    <xf numFmtId="0" fontId="0" fillId="0" borderId="0" xfId="0" applyFill="1" applyBorder="1" applyAlignment="1">
      <alignment horizontal="center"/>
    </xf>
    <xf numFmtId="0" fontId="0" fillId="0" borderId="23" xfId="0" applyBorder="1" applyAlignment="1" applyProtection="1">
      <alignment wrapText="1"/>
    </xf>
    <xf numFmtId="0" fontId="0" fillId="0" borderId="10" xfId="0" applyBorder="1" applyAlignment="1" applyProtection="1">
      <alignment horizontal="center" wrapText="1"/>
    </xf>
    <xf numFmtId="0" fontId="0" fillId="0" borderId="23" xfId="0" applyBorder="1" applyAlignment="1" applyProtection="1">
      <alignment horizontal="center" wrapText="1"/>
    </xf>
    <xf numFmtId="0" fontId="0" fillId="0" borderId="7" xfId="0" applyBorder="1" applyAlignment="1" applyProtection="1">
      <alignment horizontal="center" wrapText="1"/>
    </xf>
    <xf numFmtId="0" fontId="0" fillId="0" borderId="26" xfId="0" applyBorder="1" applyAlignment="1" applyProtection="1">
      <alignment horizontal="center" wrapText="1"/>
    </xf>
    <xf numFmtId="0" fontId="0" fillId="9" borderId="0" xfId="0" applyFill="1" applyProtection="1"/>
    <xf numFmtId="0" fontId="7" fillId="0" borderId="0" xfId="0" applyFont="1" applyAlignment="1" applyProtection="1">
      <alignment horizontal="center"/>
      <protection locked="0"/>
    </xf>
    <xf numFmtId="0" fontId="23" fillId="12" borderId="4" xfId="0" applyFont="1" applyFill="1" applyBorder="1" applyAlignment="1">
      <alignment horizontal="center" wrapText="1"/>
    </xf>
    <xf numFmtId="1" fontId="0" fillId="6" borderId="6" xfId="0" applyNumberFormat="1" applyFill="1" applyBorder="1" applyAlignment="1" applyProtection="1">
      <alignment horizontal="center" vertical="center"/>
      <protection locked="0"/>
    </xf>
    <xf numFmtId="0" fontId="23" fillId="7" borderId="9" xfId="0" applyFont="1" applyFill="1" applyBorder="1" applyAlignment="1">
      <alignment horizontal="center" wrapText="1"/>
    </xf>
    <xf numFmtId="0" fontId="23" fillId="9" borderId="0" xfId="0" applyFont="1" applyFill="1" applyBorder="1" applyAlignment="1" applyProtection="1">
      <alignment horizontal="center" vertical="center" wrapText="1"/>
    </xf>
    <xf numFmtId="0" fontId="0" fillId="9" borderId="0" xfId="0" applyFill="1" applyBorder="1"/>
    <xf numFmtId="1" fontId="0" fillId="0" borderId="16" xfId="0" applyNumberFormat="1" applyFill="1" applyBorder="1" applyAlignment="1" applyProtection="1">
      <alignment horizontal="center"/>
      <protection locked="0"/>
    </xf>
    <xf numFmtId="1" fontId="0" fillId="0" borderId="11" xfId="0" applyNumberFormat="1" applyBorder="1" applyAlignment="1" applyProtection="1">
      <alignment horizontal="center"/>
      <protection locked="0"/>
    </xf>
    <xf numFmtId="1" fontId="0" fillId="0" borderId="23" xfId="0" applyNumberFormat="1" applyBorder="1" applyAlignment="1" applyProtection="1">
      <alignment horizontal="center"/>
      <protection locked="0"/>
    </xf>
    <xf numFmtId="1" fontId="0" fillId="0" borderId="23"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protection locked="0"/>
    </xf>
    <xf numFmtId="0" fontId="40" fillId="12" borderId="3" xfId="0" applyFont="1" applyFill="1" applyBorder="1" applyAlignment="1">
      <alignment horizontal="center" vertical="center" wrapText="1"/>
    </xf>
    <xf numFmtId="49" fontId="0" fillId="6" borderId="3" xfId="0" applyNumberFormat="1" applyFill="1" applyBorder="1" applyAlignment="1" applyProtection="1">
      <alignment horizontal="center" vertical="center"/>
      <protection locked="0"/>
    </xf>
    <xf numFmtId="0" fontId="45" fillId="9" borderId="0" xfId="0" applyFont="1" applyFill="1" applyBorder="1" applyAlignment="1" applyProtection="1">
      <alignment horizontal="center"/>
    </xf>
    <xf numFmtId="2" fontId="0" fillId="0" borderId="0" xfId="0" applyNumberFormat="1" applyBorder="1"/>
    <xf numFmtId="2" fontId="0" fillId="0" borderId="12" xfId="0" applyNumberFormat="1" applyBorder="1"/>
    <xf numFmtId="2" fontId="0" fillId="0" borderId="12" xfId="0" applyNumberFormat="1" applyBorder="1" applyAlignment="1">
      <alignment horizontal="center"/>
    </xf>
    <xf numFmtId="2" fontId="0" fillId="0" borderId="0" xfId="0" applyNumberFormat="1" applyBorder="1" applyAlignment="1">
      <alignment horizontal="center"/>
    </xf>
    <xf numFmtId="0" fontId="15" fillId="13" borderId="47" xfId="0" applyFont="1" applyFill="1" applyBorder="1" applyAlignment="1">
      <alignment vertical="center"/>
    </xf>
    <xf numFmtId="0" fontId="15" fillId="13" borderId="47" xfId="0" applyFont="1" applyFill="1" applyBorder="1" applyAlignment="1">
      <alignment vertical="center" wrapText="1"/>
    </xf>
    <xf numFmtId="0" fontId="15" fillId="13" borderId="48"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0" fillId="0" borderId="0" xfId="0" applyBorder="1" applyAlignment="1">
      <alignment vertical="center"/>
    </xf>
    <xf numFmtId="0" fontId="45" fillId="0" borderId="0" xfId="0" applyFont="1" applyFill="1" applyBorder="1" applyAlignment="1">
      <alignment vertical="center" wrapText="1"/>
    </xf>
    <xf numFmtId="0" fontId="0" fillId="0" borderId="0" xfId="0" applyBorder="1" applyAlignment="1">
      <alignment vertical="center" wrapText="1"/>
    </xf>
    <xf numFmtId="2" fontId="0" fillId="0" borderId="11" xfId="0" applyNumberFormat="1" applyBorder="1" applyAlignment="1">
      <alignment horizontal="center"/>
    </xf>
    <xf numFmtId="2" fontId="0" fillId="0" borderId="8" xfId="0" applyNumberFormat="1" applyBorder="1"/>
    <xf numFmtId="44" fontId="7" fillId="0" borderId="0" xfId="0" applyNumberFormat="1" applyFont="1"/>
    <xf numFmtId="0" fontId="3" fillId="6" borderId="3" xfId="0" applyFont="1" applyFill="1" applyBorder="1" applyAlignment="1" applyProtection="1">
      <alignment horizontal="center"/>
    </xf>
    <xf numFmtId="0" fontId="3" fillId="6" borderId="15" xfId="0" applyFont="1" applyFill="1" applyBorder="1" applyAlignment="1" applyProtection="1">
      <alignment horizontal="center"/>
    </xf>
    <xf numFmtId="0" fontId="0" fillId="6" borderId="8" xfId="0" applyFill="1" applyBorder="1" applyAlignment="1" applyProtection="1">
      <alignment horizontal="center"/>
    </xf>
    <xf numFmtId="44" fontId="0" fillId="6" borderId="37" xfId="0" applyNumberFormat="1" applyFill="1" applyBorder="1" applyProtection="1"/>
    <xf numFmtId="0" fontId="0" fillId="6" borderId="36" xfId="0" applyFill="1" applyBorder="1" applyAlignment="1" applyProtection="1">
      <alignment horizontal="center"/>
    </xf>
    <xf numFmtId="44" fontId="0" fillId="6" borderId="36" xfId="0" applyNumberFormat="1" applyFill="1" applyBorder="1" applyProtection="1"/>
    <xf numFmtId="0" fontId="0" fillId="6" borderId="9" xfId="0" applyFill="1" applyBorder="1" applyAlignment="1" applyProtection="1">
      <alignment horizontal="center"/>
    </xf>
    <xf numFmtId="44" fontId="0" fillId="6" borderId="38" xfId="0" applyNumberFormat="1" applyFill="1" applyBorder="1" applyProtection="1"/>
    <xf numFmtId="0" fontId="0" fillId="0" borderId="0" xfId="0" applyAlignment="1">
      <alignment horizontal="center"/>
    </xf>
    <xf numFmtId="0" fontId="0" fillId="11" borderId="0" xfId="0" applyFill="1"/>
    <xf numFmtId="0" fontId="0" fillId="11" borderId="0" xfId="0" applyFill="1" applyAlignment="1">
      <alignment horizontal="center"/>
    </xf>
    <xf numFmtId="0" fontId="0" fillId="0" borderId="11" xfId="0" applyBorder="1"/>
    <xf numFmtId="0" fontId="0" fillId="0" borderId="9" xfId="0" applyBorder="1"/>
    <xf numFmtId="0" fontId="0" fillId="0" borderId="14" xfId="0" applyBorder="1"/>
    <xf numFmtId="0" fontId="7" fillId="0" borderId="9" xfId="0" applyFont="1" applyBorder="1"/>
    <xf numFmtId="0" fontId="7" fillId="0" borderId="5" xfId="0" applyFont="1" applyBorder="1"/>
    <xf numFmtId="0" fontId="17" fillId="0" borderId="0" xfId="0" applyFont="1"/>
    <xf numFmtId="0" fontId="7" fillId="8" borderId="5" xfId="0" applyFont="1" applyFill="1" applyBorder="1"/>
    <xf numFmtId="0" fontId="7" fillId="8" borderId="0" xfId="0" applyFont="1" applyFill="1"/>
    <xf numFmtId="0" fontId="7" fillId="8" borderId="3" xfId="0" applyFont="1" applyFill="1" applyBorder="1"/>
    <xf numFmtId="44" fontId="7" fillId="8" borderId="3" xfId="0" applyNumberFormat="1" applyFont="1" applyFill="1" applyBorder="1"/>
    <xf numFmtId="43" fontId="7" fillId="8" borderId="3" xfId="0" applyNumberFormat="1" applyFont="1" applyFill="1" applyBorder="1"/>
    <xf numFmtId="44" fontId="7" fillId="8" borderId="5" xfId="0" applyNumberFormat="1" applyFont="1" applyFill="1" applyBorder="1"/>
    <xf numFmtId="0" fontId="7" fillId="0" borderId="0" xfId="0" applyFont="1" applyBorder="1"/>
    <xf numFmtId="43" fontId="7" fillId="0" borderId="0" xfId="0" applyNumberFormat="1" applyFont="1"/>
    <xf numFmtId="44" fontId="7" fillId="9" borderId="1" xfId="1" applyFont="1" applyFill="1" applyBorder="1" applyAlignment="1">
      <alignment horizontal="center"/>
    </xf>
    <xf numFmtId="44" fontId="7" fillId="9" borderId="1" xfId="1" applyFont="1" applyFill="1" applyBorder="1" applyAlignment="1">
      <alignment horizontal="center" wrapText="1"/>
    </xf>
    <xf numFmtId="0" fontId="7" fillId="0" borderId="17" xfId="2" applyFont="1" applyFill="1" applyBorder="1" applyAlignment="1" applyProtection="1">
      <alignment horizontal="center" wrapText="1"/>
      <protection locked="0"/>
    </xf>
    <xf numFmtId="44" fontId="7" fillId="9" borderId="17" xfId="1" applyFont="1" applyFill="1" applyBorder="1" applyAlignment="1">
      <alignment horizontal="center" wrapText="1"/>
    </xf>
    <xf numFmtId="0" fontId="7" fillId="6" borderId="50" xfId="0" applyFont="1" applyFill="1" applyBorder="1" applyAlignment="1">
      <alignment wrapText="1"/>
    </xf>
    <xf numFmtId="0" fontId="7" fillId="0" borderId="7" xfId="0" applyFont="1" applyBorder="1"/>
    <xf numFmtId="0" fontId="7" fillId="6" borderId="49" xfId="2" applyFont="1" applyFill="1" applyBorder="1" applyAlignment="1">
      <alignment wrapText="1"/>
    </xf>
    <xf numFmtId="0" fontId="7" fillId="0" borderId="17" xfId="2" applyFont="1" applyFill="1" applyBorder="1" applyAlignment="1" applyProtection="1">
      <alignment horizontal="center"/>
      <protection locked="0"/>
    </xf>
    <xf numFmtId="44" fontId="7" fillId="9" borderId="17" xfId="1" applyFont="1" applyFill="1" applyBorder="1" applyAlignment="1">
      <alignment horizontal="center"/>
    </xf>
    <xf numFmtId="0" fontId="17" fillId="6" borderId="50" xfId="0" applyFont="1" applyFill="1" applyBorder="1" applyAlignment="1">
      <alignment wrapText="1"/>
    </xf>
    <xf numFmtId="0" fontId="7" fillId="6" borderId="51" xfId="2" applyFont="1" applyFill="1" applyBorder="1" applyAlignment="1">
      <alignment wrapText="1"/>
    </xf>
    <xf numFmtId="0" fontId="7" fillId="6" borderId="52" xfId="2" applyFont="1" applyFill="1" applyBorder="1" applyAlignment="1">
      <alignment wrapText="1"/>
    </xf>
    <xf numFmtId="0" fontId="7" fillId="0" borderId="8" xfId="0" applyFont="1" applyBorder="1" applyAlignment="1">
      <alignment wrapText="1"/>
    </xf>
    <xf numFmtId="0" fontId="7" fillId="0" borderId="53" xfId="2" applyFont="1" applyFill="1" applyBorder="1" applyAlignment="1" applyProtection="1">
      <alignment horizontal="center" wrapText="1"/>
      <protection locked="0"/>
    </xf>
    <xf numFmtId="44" fontId="7" fillId="9" borderId="53" xfId="1" applyFont="1" applyFill="1" applyBorder="1" applyAlignment="1">
      <alignment horizontal="center" wrapText="1"/>
    </xf>
    <xf numFmtId="0" fontId="0" fillId="0" borderId="0" xfId="0" applyAlignment="1">
      <alignment horizontal="center"/>
    </xf>
    <xf numFmtId="0" fontId="0" fillId="0" borderId="8" xfId="0" applyBorder="1" applyAlignment="1"/>
    <xf numFmtId="0" fontId="0" fillId="12" borderId="0" xfId="0" applyFill="1" applyAlignment="1">
      <alignment horizontal="center"/>
    </xf>
    <xf numFmtId="0" fontId="0" fillId="19" borderId="0" xfId="0" applyFill="1" applyAlignment="1">
      <alignment horizontal="center"/>
    </xf>
    <xf numFmtId="0" fontId="0" fillId="20" borderId="0" xfId="0" applyFill="1"/>
    <xf numFmtId="0" fontId="0" fillId="20" borderId="0" xfId="0" applyFill="1" applyAlignment="1">
      <alignment horizontal="center"/>
    </xf>
    <xf numFmtId="0" fontId="0" fillId="0" borderId="12" xfId="0" applyBorder="1" applyAlignment="1" applyProtection="1">
      <alignment horizontal="center"/>
      <protection locked="0"/>
    </xf>
    <xf numFmtId="0" fontId="14" fillId="0" borderId="23" xfId="0" applyFont="1" applyBorder="1" applyAlignment="1" applyProtection="1">
      <alignment horizontal="center"/>
      <protection locked="0"/>
    </xf>
    <xf numFmtId="0" fontId="0" fillId="0" borderId="10" xfId="0" applyBorder="1" applyAlignment="1"/>
    <xf numFmtId="0" fontId="14" fillId="0" borderId="23" xfId="0" applyFont="1" applyBorder="1" applyAlignment="1" applyProtection="1">
      <alignment wrapText="1"/>
      <protection locked="0"/>
    </xf>
    <xf numFmtId="0" fontId="14" fillId="0" borderId="23" xfId="0" applyFont="1" applyBorder="1" applyAlignment="1" applyProtection="1">
      <protection locked="0"/>
    </xf>
    <xf numFmtId="0" fontId="3" fillId="0" borderId="0" xfId="0" applyFont="1" applyBorder="1" applyAlignment="1">
      <alignment horizontal="center"/>
    </xf>
    <xf numFmtId="0" fontId="27" fillId="0" borderId="23" xfId="0" applyFont="1" applyBorder="1" applyAlignment="1" applyProtection="1">
      <alignment horizontal="center" wrapText="1"/>
      <protection locked="0"/>
    </xf>
    <xf numFmtId="0" fontId="0" fillId="0" borderId="23" xfId="0" applyBorder="1" applyAlignment="1" applyProtection="1">
      <protection locked="0"/>
    </xf>
    <xf numFmtId="0" fontId="0" fillId="0" borderId="15" xfId="0" applyBorder="1" applyAlignment="1" applyProtection="1">
      <protection locked="0"/>
    </xf>
    <xf numFmtId="0" fontId="0" fillId="0" borderId="16" xfId="0" applyBorder="1" applyProtection="1">
      <protection locked="0"/>
    </xf>
    <xf numFmtId="0" fontId="0" fillId="0" borderId="23" xfId="0" applyBorder="1" applyProtection="1">
      <protection locked="0"/>
    </xf>
    <xf numFmtId="0" fontId="0" fillId="0" borderId="15" xfId="0" applyBorder="1" applyProtection="1">
      <protection locked="0"/>
    </xf>
    <xf numFmtId="0" fontId="14" fillId="0" borderId="16" xfId="0" applyFont="1" applyBorder="1" applyAlignment="1" applyProtection="1">
      <alignment horizontal="center"/>
      <protection locked="0"/>
    </xf>
    <xf numFmtId="0" fontId="0" fillId="0" borderId="14" xfId="0" applyBorder="1" applyAlignment="1" applyProtection="1">
      <alignment horizontal="center"/>
      <protection locked="0"/>
    </xf>
    <xf numFmtId="0" fontId="27" fillId="0" borderId="10" xfId="0" applyFont="1" applyBorder="1" applyAlignment="1" applyProtection="1">
      <alignment horizontal="left"/>
    </xf>
    <xf numFmtId="0" fontId="27" fillId="0" borderId="7" xfId="0" applyFont="1" applyBorder="1" applyAlignment="1" applyProtection="1">
      <alignment horizontal="left"/>
    </xf>
    <xf numFmtId="0" fontId="27" fillId="0" borderId="7" xfId="0" applyFont="1" applyBorder="1" applyAlignment="1" applyProtection="1">
      <alignment wrapText="1"/>
    </xf>
    <xf numFmtId="0" fontId="27" fillId="0" borderId="7" xfId="0" applyFont="1" applyBorder="1" applyProtection="1"/>
    <xf numFmtId="0" fontId="27" fillId="0" borderId="7" xfId="0" applyFont="1" applyBorder="1" applyAlignment="1" applyProtection="1">
      <alignment vertical="center"/>
    </xf>
    <xf numFmtId="0" fontId="14" fillId="10" borderId="7" xfId="0" applyFont="1" applyFill="1" applyBorder="1" applyAlignment="1" applyProtection="1">
      <alignment horizontal="left" vertical="top" wrapText="1"/>
    </xf>
    <xf numFmtId="0" fontId="14" fillId="10" borderId="7" xfId="0" applyFont="1" applyFill="1" applyBorder="1" applyAlignment="1" applyProtection="1">
      <alignment wrapText="1"/>
    </xf>
    <xf numFmtId="0" fontId="27" fillId="10" borderId="7" xfId="0" applyFont="1" applyFill="1" applyBorder="1" applyAlignment="1" applyProtection="1"/>
    <xf numFmtId="0" fontId="14" fillId="10" borderId="7" xfId="0" applyFont="1" applyFill="1" applyBorder="1" applyAlignment="1" applyProtection="1"/>
    <xf numFmtId="0" fontId="0" fillId="10" borderId="7" xfId="0" applyFill="1" applyBorder="1" applyAlignment="1" applyProtection="1"/>
    <xf numFmtId="0" fontId="0" fillId="10" borderId="13" xfId="0" applyFill="1" applyBorder="1" applyAlignment="1" applyProtection="1"/>
    <xf numFmtId="0" fontId="49" fillId="0" borderId="7" xfId="0" applyFont="1" applyBorder="1" applyAlignment="1" applyProtection="1">
      <alignment wrapText="1"/>
    </xf>
    <xf numFmtId="0" fontId="49" fillId="0" borderId="7" xfId="0" applyFont="1" applyBorder="1" applyProtection="1"/>
    <xf numFmtId="0" fontId="3" fillId="6" borderId="16" xfId="0" applyFont="1" applyFill="1" applyBorder="1" applyAlignment="1">
      <alignment horizontal="center" wrapText="1"/>
    </xf>
    <xf numFmtId="0" fontId="15" fillId="6" borderId="47" xfId="0" applyFont="1" applyFill="1" applyBorder="1" applyAlignment="1">
      <alignment vertical="center"/>
    </xf>
    <xf numFmtId="0" fontId="15" fillId="6" borderId="47" xfId="0" applyFont="1" applyFill="1" applyBorder="1" applyAlignment="1">
      <alignment vertical="center" wrapText="1"/>
    </xf>
    <xf numFmtId="0" fontId="15" fillId="6" borderId="48" xfId="0" applyFont="1" applyFill="1" applyBorder="1" applyAlignment="1">
      <alignment vertical="center" wrapText="1"/>
    </xf>
    <xf numFmtId="0" fontId="15" fillId="12" borderId="54" xfId="0" applyFont="1" applyFill="1" applyBorder="1" applyAlignment="1">
      <alignment vertical="center" wrapText="1"/>
    </xf>
    <xf numFmtId="0" fontId="0" fillId="9" borderId="0" xfId="0" applyFill="1" applyBorder="1" applyProtection="1"/>
    <xf numFmtId="0" fontId="3" fillId="9" borderId="0" xfId="0" applyFont="1" applyFill="1" applyBorder="1" applyAlignment="1" applyProtection="1">
      <alignment horizontal="center" wrapText="1"/>
    </xf>
    <xf numFmtId="0" fontId="15" fillId="12" borderId="55" xfId="0" applyFont="1" applyFill="1" applyBorder="1" applyAlignment="1">
      <alignment vertical="center" wrapText="1"/>
    </xf>
    <xf numFmtId="0" fontId="15" fillId="12" borderId="54" xfId="0" applyFont="1" applyFill="1" applyBorder="1" applyAlignment="1">
      <alignment vertical="center"/>
    </xf>
    <xf numFmtId="0" fontId="50" fillId="9" borderId="0" xfId="0" applyFont="1" applyFill="1" applyBorder="1" applyAlignment="1" applyProtection="1">
      <alignment horizontal="center"/>
    </xf>
    <xf numFmtId="0" fontId="27" fillId="0" borderId="15" xfId="0" applyFont="1" applyBorder="1" applyAlignment="1">
      <alignment horizontal="center" wrapText="1"/>
    </xf>
    <xf numFmtId="0" fontId="0" fillId="18" borderId="0" xfId="0" applyFill="1" applyBorder="1" applyAlignment="1">
      <alignment horizontal="center"/>
    </xf>
    <xf numFmtId="0" fontId="15" fillId="20" borderId="9" xfId="0" applyFont="1" applyFill="1" applyBorder="1" applyAlignment="1">
      <alignment horizontal="center"/>
    </xf>
    <xf numFmtId="0" fontId="15" fillId="0" borderId="9" xfId="0" applyFont="1" applyBorder="1"/>
    <xf numFmtId="0" fontId="0" fillId="20" borderId="9" xfId="0" applyFill="1" applyBorder="1" applyAlignment="1">
      <alignment horizontal="center"/>
    </xf>
    <xf numFmtId="0" fontId="15" fillId="6" borderId="36" xfId="0" applyFont="1" applyFill="1" applyBorder="1" applyAlignment="1">
      <alignment vertical="center"/>
    </xf>
    <xf numFmtId="0" fontId="15" fillId="6" borderId="36" xfId="0" applyFont="1" applyFill="1" applyBorder="1" applyAlignment="1">
      <alignment vertical="center" wrapText="1"/>
    </xf>
    <xf numFmtId="0" fontId="51" fillId="6" borderId="4" xfId="0" applyFont="1" applyFill="1" applyBorder="1" applyAlignment="1">
      <alignment horizontal="left" vertical="top" wrapText="1"/>
    </xf>
    <xf numFmtId="0" fontId="0" fillId="0" borderId="0" xfId="0" applyAlignment="1">
      <alignment horizontal="center"/>
    </xf>
    <xf numFmtId="0" fontId="52" fillId="9" borderId="0" xfId="0" applyFont="1" applyFill="1"/>
    <xf numFmtId="0" fontId="53" fillId="6" borderId="3" xfId="0" applyFont="1" applyFill="1" applyBorder="1" applyAlignment="1">
      <alignment horizontal="center" wrapText="1"/>
    </xf>
    <xf numFmtId="0" fontId="54" fillId="6" borderId="0" xfId="0" applyFont="1" applyFill="1" applyAlignment="1">
      <alignment horizontal="center" wrapText="1"/>
    </xf>
    <xf numFmtId="0" fontId="54" fillId="6" borderId="0" xfId="0" applyFont="1" applyFill="1" applyAlignment="1">
      <alignment wrapText="1"/>
    </xf>
    <xf numFmtId="0" fontId="53" fillId="6" borderId="7" xfId="0" applyFont="1" applyFill="1" applyBorder="1" applyAlignment="1">
      <alignment horizontal="center" wrapText="1"/>
    </xf>
    <xf numFmtId="0" fontId="53" fillId="6" borderId="0" xfId="0" applyFont="1" applyFill="1" applyAlignment="1">
      <alignment horizontal="center" wrapText="1"/>
    </xf>
    <xf numFmtId="0" fontId="53" fillId="6" borderId="23" xfId="0" applyFont="1" applyFill="1" applyBorder="1" applyAlignment="1">
      <alignment horizontal="center" wrapText="1"/>
    </xf>
    <xf numFmtId="0" fontId="53" fillId="6" borderId="0" xfId="0" applyFont="1" applyFill="1" applyBorder="1" applyAlignment="1">
      <alignment horizontal="center" wrapText="1"/>
    </xf>
    <xf numFmtId="0" fontId="53" fillId="6" borderId="16" xfId="0" applyFont="1" applyFill="1" applyBorder="1" applyAlignment="1">
      <alignment horizontal="center" wrapText="1"/>
    </xf>
    <xf numFmtId="0" fontId="27" fillId="0" borderId="23" xfId="0" applyFont="1" applyBorder="1" applyAlignment="1" applyProtection="1">
      <alignment horizontal="left" vertical="center" wrapText="1"/>
    </xf>
    <xf numFmtId="0" fontId="15" fillId="0" borderId="23" xfId="0" applyFont="1" applyBorder="1" applyAlignment="1" applyProtection="1">
      <alignment horizontal="left" vertical="top" wrapText="1"/>
      <protection locked="0"/>
    </xf>
    <xf numFmtId="0" fontId="0" fillId="9" borderId="0" xfId="0" applyFill="1" applyAlignment="1">
      <alignment horizontal="center"/>
    </xf>
    <xf numFmtId="0" fontId="0" fillId="0" borderId="0" xfId="0" applyAlignment="1">
      <alignment horizontal="center"/>
    </xf>
    <xf numFmtId="0" fontId="0" fillId="9" borderId="0" xfId="0" applyFill="1" applyAlignment="1">
      <alignment wrapText="1"/>
    </xf>
    <xf numFmtId="0" fontId="0" fillId="0" borderId="0" xfId="0" applyAlignment="1">
      <alignment wrapText="1"/>
    </xf>
    <xf numFmtId="0" fontId="56" fillId="0" borderId="7" xfId="0" applyFont="1" applyBorder="1" applyAlignment="1" applyProtection="1">
      <alignment horizontal="left" vertical="top" wrapText="1"/>
    </xf>
    <xf numFmtId="0" fontId="0" fillId="0" borderId="13" xfId="0" applyBorder="1" applyAlignment="1" applyProtection="1">
      <alignment horizontal="left" vertical="top" wrapText="1"/>
      <protection locked="0"/>
    </xf>
    <xf numFmtId="0" fontId="57" fillId="0" borderId="7" xfId="0" applyFont="1" applyBorder="1" applyAlignment="1" applyProtection="1">
      <alignment horizontal="left" wrapText="1"/>
    </xf>
    <xf numFmtId="0" fontId="0" fillId="9" borderId="0" xfId="0" applyFill="1" applyBorder="1" applyAlignment="1">
      <alignment horizontal="center" vertical="center" wrapText="1"/>
    </xf>
    <xf numFmtId="0" fontId="30" fillId="7" borderId="5" xfId="0" applyFont="1" applyFill="1" applyBorder="1" applyAlignment="1">
      <alignment horizontal="center" vertical="center" wrapText="1"/>
    </xf>
    <xf numFmtId="0" fontId="0" fillId="0" borderId="9" xfId="0" applyBorder="1" applyAlignment="1" applyProtection="1">
      <alignment horizontal="left" vertical="top" wrapText="1"/>
      <protection locked="0"/>
    </xf>
    <xf numFmtId="0" fontId="0" fillId="0" borderId="9" xfId="0" applyBorder="1" applyAlignment="1">
      <alignment horizontal="left" vertical="top" wrapText="1"/>
    </xf>
    <xf numFmtId="0" fontId="0" fillId="0" borderId="15" xfId="0" applyBorder="1" applyAlignment="1" applyProtection="1">
      <alignment horizontal="left" vertical="top" wrapText="1"/>
      <protection locked="0"/>
    </xf>
    <xf numFmtId="0" fontId="24" fillId="9" borderId="0" xfId="0" quotePrefix="1" applyFont="1" applyFill="1"/>
    <xf numFmtId="0" fontId="0" fillId="8" borderId="3" xfId="0" applyFill="1" applyBorder="1" applyAlignment="1" applyProtection="1">
      <alignment horizontal="center" vertical="center"/>
    </xf>
    <xf numFmtId="0" fontId="0" fillId="8" borderId="3" xfId="0" applyFill="1" applyBorder="1" applyAlignment="1">
      <alignment horizontal="center" vertical="center"/>
    </xf>
    <xf numFmtId="0" fontId="0" fillId="6" borderId="9" xfId="0" applyFill="1" applyBorder="1" applyAlignment="1" applyProtection="1">
      <alignment vertical="top"/>
    </xf>
    <xf numFmtId="0" fontId="15" fillId="0" borderId="0" xfId="0" applyFont="1" applyAlignment="1">
      <alignment wrapText="1"/>
    </xf>
    <xf numFmtId="0" fontId="0" fillId="0" borderId="0" xfId="0" applyFill="1" applyAlignment="1">
      <alignment horizontal="center"/>
    </xf>
    <xf numFmtId="0" fontId="3" fillId="0" borderId="0" xfId="0" applyFont="1"/>
    <xf numFmtId="44" fontId="0" fillId="0" borderId="39" xfId="0" applyNumberFormat="1" applyBorder="1" applyProtection="1"/>
    <xf numFmtId="44" fontId="0" fillId="0" borderId="58" xfId="0" applyNumberFormat="1" applyBorder="1" applyProtection="1"/>
    <xf numFmtId="44" fontId="0" fillId="0" borderId="40" xfId="0" applyNumberFormat="1" applyBorder="1" applyProtection="1"/>
    <xf numFmtId="0" fontId="63" fillId="6" borderId="21" xfId="0" applyFont="1" applyFill="1" applyBorder="1" applyAlignment="1">
      <alignment horizontal="left" vertical="center" wrapText="1"/>
    </xf>
    <xf numFmtId="0" fontId="14" fillId="6" borderId="3" xfId="0" applyFont="1" applyFill="1" applyBorder="1" applyAlignment="1">
      <alignment wrapText="1"/>
    </xf>
    <xf numFmtId="0" fontId="27" fillId="6" borderId="3" xfId="0" applyFont="1" applyFill="1" applyBorder="1"/>
    <xf numFmtId="0" fontId="14" fillId="0" borderId="3" xfId="0" applyFont="1" applyBorder="1" applyAlignment="1">
      <alignment horizontal="center"/>
    </xf>
    <xf numFmtId="0" fontId="27" fillId="6" borderId="3" xfId="0" applyFont="1" applyFill="1" applyBorder="1" applyAlignment="1">
      <alignment wrapText="1"/>
    </xf>
    <xf numFmtId="0" fontId="3" fillId="21" borderId="3" xfId="0" applyFont="1" applyFill="1" applyBorder="1" applyAlignment="1">
      <alignment horizontal="center"/>
    </xf>
    <xf numFmtId="0" fontId="27" fillId="6" borderId="15" xfId="0" applyFont="1" applyFill="1" applyBorder="1"/>
    <xf numFmtId="0" fontId="14" fillId="6" borderId="59" xfId="0" applyFont="1" applyFill="1" applyBorder="1" applyAlignment="1">
      <alignment wrapText="1"/>
    </xf>
    <xf numFmtId="0" fontId="27" fillId="6" borderId="60" xfId="0" applyFont="1" applyFill="1" applyBorder="1"/>
    <xf numFmtId="0" fontId="27" fillId="6" borderId="59" xfId="0" applyFont="1" applyFill="1" applyBorder="1"/>
    <xf numFmtId="0" fontId="3" fillId="12" borderId="0" xfId="0" applyFont="1" applyFill="1" applyAlignment="1">
      <alignment horizontal="center"/>
    </xf>
    <xf numFmtId="1" fontId="0" fillId="0" borderId="0" xfId="0" applyNumberFormat="1"/>
    <xf numFmtId="0" fontId="67" fillId="0" borderId="0" xfId="0" applyFont="1"/>
    <xf numFmtId="0" fontId="3" fillId="0" borderId="0" xfId="0" applyFont="1" applyAlignment="1">
      <alignment horizontal="center" vertical="center"/>
    </xf>
    <xf numFmtId="165" fontId="0" fillId="0" borderId="0" xfId="0" applyNumberFormat="1" applyAlignment="1">
      <alignment horizontal="center"/>
    </xf>
    <xf numFmtId="165" fontId="3" fillId="0" borderId="0" xfId="0" applyNumberFormat="1" applyFont="1" applyAlignment="1">
      <alignment horizontal="center"/>
    </xf>
    <xf numFmtId="0" fontId="3" fillId="0" borderId="0" xfId="0" applyFont="1" applyFill="1"/>
    <xf numFmtId="165" fontId="0" fillId="0" borderId="0" xfId="0" applyNumberFormat="1" applyFill="1" applyAlignment="1">
      <alignment horizontal="center"/>
    </xf>
    <xf numFmtId="0" fontId="0" fillId="6" borderId="65" xfId="0" applyFill="1" applyBorder="1" applyAlignment="1" applyProtection="1">
      <alignment horizontal="center"/>
    </xf>
    <xf numFmtId="44" fontId="0" fillId="0" borderId="12" xfId="0" applyNumberFormat="1" applyFill="1" applyBorder="1" applyProtection="1"/>
    <xf numFmtId="44" fontId="0" fillId="0" borderId="14" xfId="0" applyNumberFormat="1" applyFill="1" applyBorder="1" applyProtection="1"/>
    <xf numFmtId="0" fontId="0" fillId="23" borderId="0" xfId="0" applyFill="1"/>
    <xf numFmtId="0" fontId="68" fillId="0" borderId="0" xfId="0" applyFont="1"/>
    <xf numFmtId="44" fontId="68" fillId="9" borderId="1" xfId="1" applyFont="1" applyFill="1" applyBorder="1" applyAlignment="1">
      <alignment horizontal="center"/>
    </xf>
    <xf numFmtId="0" fontId="68" fillId="6" borderId="1" xfId="2" applyFont="1" applyFill="1" applyAlignment="1">
      <alignment wrapText="1"/>
    </xf>
    <xf numFmtId="0" fontId="68" fillId="0" borderId="1" xfId="2" applyFont="1" applyFill="1" applyAlignment="1" applyProtection="1">
      <alignment horizontal="center"/>
      <protection locked="0"/>
    </xf>
    <xf numFmtId="0" fontId="14" fillId="9" borderId="0" xfId="0" applyFont="1" applyFill="1" applyBorder="1" applyAlignment="1" applyProtection="1">
      <alignment horizontal="center"/>
      <protection locked="0"/>
    </xf>
    <xf numFmtId="0" fontId="14" fillId="9" borderId="9" xfId="0" applyFont="1" applyFill="1" applyBorder="1" applyAlignment="1" applyProtection="1">
      <alignment horizontal="center"/>
      <protection locked="0"/>
    </xf>
    <xf numFmtId="0" fontId="27" fillId="0" borderId="15" xfId="0" applyFont="1" applyBorder="1" applyAlignment="1">
      <alignment horizontal="center" wrapText="1"/>
    </xf>
    <xf numFmtId="2" fontId="0" fillId="0" borderId="14" xfId="0" applyNumberFormat="1" applyBorder="1"/>
    <xf numFmtId="0" fontId="15" fillId="20" borderId="0" xfId="0" applyFont="1" applyFill="1" applyAlignment="1">
      <alignment horizontal="center" wrapText="1"/>
    </xf>
    <xf numFmtId="0" fontId="15" fillId="0" borderId="23" xfId="0" applyFont="1" applyBorder="1" applyAlignment="1" applyProtection="1">
      <alignment horizontal="center" vertical="center" wrapText="1"/>
      <protection locked="0"/>
    </xf>
    <xf numFmtId="0" fontId="14" fillId="9" borderId="7" xfId="0" applyFont="1" applyFill="1" applyBorder="1" applyAlignment="1" applyProtection="1">
      <alignment wrapText="1"/>
    </xf>
    <xf numFmtId="0" fontId="27" fillId="9" borderId="7" xfId="0" applyFont="1" applyFill="1" applyBorder="1" applyAlignment="1" applyProtection="1"/>
    <xf numFmtId="0" fontId="14" fillId="9" borderId="7" xfId="0" applyFont="1" applyFill="1" applyBorder="1" applyAlignment="1" applyProtection="1"/>
    <xf numFmtId="0" fontId="0" fillId="9" borderId="7" xfId="0" applyFill="1" applyBorder="1" applyAlignment="1" applyProtection="1"/>
    <xf numFmtId="0" fontId="0" fillId="9" borderId="13" xfId="0" applyFill="1" applyBorder="1" applyAlignment="1" applyProtection="1"/>
    <xf numFmtId="0" fontId="14" fillId="9" borderId="8" xfId="0" applyFont="1" applyFill="1" applyBorder="1" applyAlignment="1" applyProtection="1">
      <alignment horizontal="center"/>
      <protection locked="0"/>
    </xf>
    <xf numFmtId="0" fontId="14" fillId="0" borderId="3" xfId="0" applyFont="1" applyBorder="1" applyAlignment="1" applyProtection="1">
      <alignment horizontal="center"/>
      <protection locked="0"/>
    </xf>
    <xf numFmtId="0" fontId="14" fillId="0" borderId="59" xfId="0" applyFont="1" applyBorder="1" applyAlignment="1" applyProtection="1">
      <alignment horizontal="center"/>
      <protection locked="0"/>
    </xf>
    <xf numFmtId="0" fontId="14" fillId="0" borderId="15" xfId="0" applyFont="1" applyBorder="1" applyAlignment="1" applyProtection="1">
      <alignment horizontal="center"/>
      <protection locked="0"/>
    </xf>
    <xf numFmtId="44" fontId="0" fillId="6" borderId="0" xfId="0" applyNumberFormat="1" applyFill="1" applyBorder="1" applyProtection="1"/>
    <xf numFmtId="44" fontId="0" fillId="6" borderId="9" xfId="0" applyNumberFormat="1" applyFill="1" applyBorder="1" applyProtection="1"/>
    <xf numFmtId="44" fontId="0" fillId="6" borderId="66" xfId="0" applyNumberFormat="1" applyFill="1" applyBorder="1" applyProtection="1"/>
    <xf numFmtId="44" fontId="0" fillId="6" borderId="67" xfId="0" applyNumberFormat="1" applyFill="1" applyBorder="1" applyProtection="1"/>
    <xf numFmtId="44" fontId="0" fillId="6" borderId="68" xfId="0" applyNumberFormat="1" applyFill="1" applyBorder="1" applyProtection="1"/>
    <xf numFmtId="0" fontId="14" fillId="9" borderId="23" xfId="0" applyFont="1" applyFill="1" applyBorder="1" applyAlignment="1" applyProtection="1">
      <alignment horizontal="left" vertical="top" wrapText="1"/>
    </xf>
    <xf numFmtId="0" fontId="27" fillId="0" borderId="9" xfId="0" applyFont="1" applyBorder="1" applyAlignment="1">
      <alignment horizontal="left" vertical="center" wrapText="1"/>
    </xf>
    <xf numFmtId="0" fontId="14" fillId="8" borderId="5" xfId="0" applyFont="1" applyFill="1" applyBorder="1" applyAlignment="1" applyProtection="1"/>
    <xf numFmtId="0" fontId="14" fillId="8" borderId="6" xfId="0" applyFont="1" applyFill="1" applyBorder="1" applyAlignment="1" applyProtection="1"/>
    <xf numFmtId="0" fontId="0" fillId="8" borderId="4" xfId="0" applyFill="1" applyBorder="1" applyAlignment="1" applyProtection="1">
      <alignment horizontal="center"/>
    </xf>
    <xf numFmtId="0" fontId="0" fillId="8" borderId="6" xfId="0" applyFill="1" applyBorder="1" applyAlignment="1" applyProtection="1">
      <alignment horizontal="center"/>
    </xf>
    <xf numFmtId="0" fontId="5" fillId="9" borderId="0" xfId="0" applyFont="1" applyFill="1" applyAlignment="1">
      <alignment horizontal="center"/>
    </xf>
    <xf numFmtId="0" fontId="0" fillId="9" borderId="0" xfId="0" applyFill="1" applyAlignment="1">
      <alignment horizontal="center"/>
    </xf>
    <xf numFmtId="0" fontId="0" fillId="0" borderId="0" xfId="0" applyAlignment="1"/>
    <xf numFmtId="0" fontId="14" fillId="9" borderId="0" xfId="0" applyFont="1" applyFill="1" applyAlignment="1">
      <alignment horizontal="center" vertical="center"/>
    </xf>
    <xf numFmtId="0" fontId="0" fillId="9" borderId="0" xfId="0" applyFont="1" applyFill="1" applyAlignment="1">
      <alignment horizontal="center"/>
    </xf>
    <xf numFmtId="0" fontId="0" fillId="0" borderId="0" xfId="0" applyFont="1" applyAlignment="1"/>
    <xf numFmtId="0" fontId="0" fillId="0" borderId="0" xfId="0" applyFont="1" applyAlignment="1">
      <alignment horizontal="center"/>
    </xf>
    <xf numFmtId="0" fontId="6" fillId="9" borderId="0" xfId="0" applyFont="1" applyFill="1" applyAlignment="1">
      <alignment horizontal="center" vertical="center"/>
    </xf>
    <xf numFmtId="0" fontId="11" fillId="9" borderId="4" xfId="0" applyFont="1" applyFill="1" applyBorder="1" applyAlignment="1">
      <alignment horizontal="center" vertical="center"/>
    </xf>
    <xf numFmtId="0" fontId="11" fillId="9" borderId="5" xfId="0" applyFont="1" applyFill="1" applyBorder="1" applyAlignment="1">
      <alignment horizontal="center" vertical="center"/>
    </xf>
    <xf numFmtId="0" fontId="0" fillId="9" borderId="6" xfId="0" applyFill="1" applyBorder="1" applyAlignment="1"/>
    <xf numFmtId="0" fontId="0" fillId="6" borderId="5"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0" fontId="0" fillId="6" borderId="10" xfId="0" applyFill="1" applyBorder="1" applyAlignment="1" applyProtection="1">
      <alignment horizontal="left" vertical="center"/>
      <protection locked="0"/>
    </xf>
    <xf numFmtId="0" fontId="0" fillId="6" borderId="8" xfId="0" applyFill="1" applyBorder="1" applyAlignment="1" applyProtection="1">
      <alignment horizontal="left" vertical="center"/>
      <protection locked="0"/>
    </xf>
    <xf numFmtId="0" fontId="0" fillId="6" borderId="11" xfId="0" applyFill="1" applyBorder="1" applyAlignment="1" applyProtection="1">
      <alignment horizontal="left" vertical="center"/>
      <protection locked="0"/>
    </xf>
    <xf numFmtId="0" fontId="0" fillId="6" borderId="4" xfId="0" applyFill="1" applyBorder="1" applyAlignment="1" applyProtection="1">
      <alignment horizontal="left" vertical="center"/>
      <protection locked="0"/>
    </xf>
    <xf numFmtId="0" fontId="0" fillId="6" borderId="5" xfId="0" applyFill="1" applyBorder="1" applyAlignment="1" applyProtection="1">
      <alignment horizontal="left" vertical="center"/>
      <protection locked="0"/>
    </xf>
    <xf numFmtId="0" fontId="0" fillId="6" borderId="6" xfId="0" applyFill="1" applyBorder="1" applyAlignment="1" applyProtection="1">
      <alignment horizontal="left" vertical="center"/>
      <protection locked="0"/>
    </xf>
    <xf numFmtId="0" fontId="0" fillId="6" borderId="5" xfId="0" applyFill="1" applyBorder="1" applyAlignment="1" applyProtection="1">
      <alignment wrapText="1"/>
      <protection locked="0"/>
    </xf>
    <xf numFmtId="0" fontId="0" fillId="6" borderId="5" xfId="0" applyFill="1" applyBorder="1" applyAlignment="1" applyProtection="1">
      <protection locked="0"/>
    </xf>
    <xf numFmtId="0" fontId="0" fillId="6" borderId="5" xfId="0" applyFill="1" applyBorder="1" applyProtection="1">
      <protection locked="0"/>
    </xf>
    <xf numFmtId="0" fontId="0" fillId="6" borderId="9" xfId="0" applyFill="1" applyBorder="1" applyProtection="1">
      <protection locked="0"/>
    </xf>
    <xf numFmtId="0" fontId="0" fillId="6" borderId="9" xfId="0" applyFill="1" applyBorder="1" applyAlignment="1" applyProtection="1">
      <protection locked="0"/>
    </xf>
    <xf numFmtId="0" fontId="48" fillId="9" borderId="0" xfId="0" applyFont="1" applyFill="1" applyAlignment="1">
      <alignment horizontal="center" wrapText="1"/>
    </xf>
    <xf numFmtId="0" fontId="48" fillId="0" borderId="0" xfId="0" applyFont="1" applyAlignment="1">
      <alignment horizontal="center" wrapText="1"/>
    </xf>
    <xf numFmtId="0" fontId="0" fillId="9" borderId="0" xfId="0" applyFill="1" applyBorder="1" applyAlignment="1"/>
    <xf numFmtId="0" fontId="0" fillId="0" borderId="0" xfId="0" applyBorder="1" applyAlignment="1"/>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4" fillId="3" borderId="10" xfId="0" applyFont="1" applyFill="1" applyBorder="1" applyAlignment="1">
      <alignment horizontal="left" vertical="top" wrapText="1"/>
    </xf>
    <xf numFmtId="0" fontId="0" fillId="0" borderId="8" xfId="0" applyBorder="1" applyAlignment="1">
      <alignment wrapText="1"/>
    </xf>
    <xf numFmtId="0" fontId="0" fillId="0" borderId="11" xfId="0" applyBorder="1" applyAlignment="1">
      <alignment wrapText="1"/>
    </xf>
    <xf numFmtId="0" fontId="0" fillId="0" borderId="7" xfId="0" applyBorder="1" applyAlignment="1">
      <alignment wrapText="1"/>
    </xf>
    <xf numFmtId="0" fontId="0" fillId="0" borderId="0" xfId="0" applyAlignment="1">
      <alignment wrapText="1"/>
    </xf>
    <xf numFmtId="0" fontId="0" fillId="0" borderId="12" xfId="0" applyBorder="1" applyAlignment="1">
      <alignment wrapText="1"/>
    </xf>
    <xf numFmtId="0" fontId="0" fillId="0" borderId="13" xfId="0" applyBorder="1" applyAlignment="1">
      <alignment wrapText="1"/>
    </xf>
    <xf numFmtId="0" fontId="0" fillId="0" borderId="9" xfId="0" applyBorder="1" applyAlignment="1">
      <alignment wrapText="1"/>
    </xf>
    <xf numFmtId="0" fontId="0" fillId="0" borderId="14" xfId="0" applyBorder="1" applyAlignment="1">
      <alignment wrapText="1"/>
    </xf>
    <xf numFmtId="0" fontId="4" fillId="8" borderId="3" xfId="0" applyFont="1" applyFill="1" applyBorder="1" applyAlignment="1">
      <alignment vertical="center" wrapText="1"/>
    </xf>
    <xf numFmtId="0" fontId="0" fillId="8" borderId="3" xfId="0" applyFill="1" applyBorder="1" applyAlignment="1">
      <alignment vertical="center" wrapText="1"/>
    </xf>
    <xf numFmtId="0" fontId="0" fillId="8" borderId="3" xfId="0" applyFill="1" applyBorder="1" applyAlignment="1">
      <alignment wrapText="1"/>
    </xf>
    <xf numFmtId="0" fontId="4" fillId="3" borderId="3" xfId="0" applyFont="1" applyFill="1" applyBorder="1" applyAlignment="1">
      <alignment vertical="center" wrapText="1"/>
    </xf>
    <xf numFmtId="0" fontId="0" fillId="0" borderId="3" xfId="0" applyBorder="1" applyAlignment="1">
      <alignment vertical="center" wrapText="1"/>
    </xf>
    <xf numFmtId="0" fontId="0" fillId="0" borderId="3" xfId="0" applyBorder="1" applyAlignment="1">
      <alignment wrapText="1"/>
    </xf>
    <xf numFmtId="0" fontId="4" fillId="3" borderId="10" xfId="0" applyFont="1" applyFill="1" applyBorder="1" applyAlignment="1">
      <alignmen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7" xfId="0"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9" xfId="0" applyBorder="1" applyAlignment="1">
      <alignment vertical="top" wrapText="1"/>
    </xf>
    <xf numFmtId="0" fontId="0" fillId="0" borderId="14" xfId="0" applyBorder="1" applyAlignment="1">
      <alignment vertical="top" wrapText="1"/>
    </xf>
    <xf numFmtId="0" fontId="0" fillId="6" borderId="14" xfId="0" applyFill="1" applyBorder="1" applyProtection="1">
      <protection locked="0"/>
    </xf>
    <xf numFmtId="0" fontId="14" fillId="6" borderId="41" xfId="0" applyFont="1" applyFill="1" applyBorder="1" applyAlignment="1" applyProtection="1">
      <alignment horizontal="left" vertical="top" wrapText="1"/>
      <protection locked="0"/>
    </xf>
    <xf numFmtId="0" fontId="14" fillId="6" borderId="29" xfId="0" applyFont="1" applyFill="1" applyBorder="1" applyAlignment="1" applyProtection="1">
      <alignment horizontal="left" vertical="top" wrapText="1"/>
      <protection locked="0"/>
    </xf>
    <xf numFmtId="0" fontId="14" fillId="6" borderId="42" xfId="0" applyFont="1" applyFill="1" applyBorder="1" applyAlignment="1" applyProtection="1">
      <alignment horizontal="left" vertical="top" wrapText="1"/>
      <protection locked="0"/>
    </xf>
    <xf numFmtId="0" fontId="14" fillId="6" borderId="43" xfId="0" applyFont="1" applyFill="1" applyBorder="1" applyAlignment="1" applyProtection="1">
      <alignment horizontal="left" vertical="top" wrapText="1"/>
      <protection locked="0"/>
    </xf>
    <xf numFmtId="0" fontId="14" fillId="6" borderId="0" xfId="0" applyFont="1" applyFill="1" applyBorder="1" applyAlignment="1" applyProtection="1">
      <alignment horizontal="left" vertical="top" wrapText="1"/>
      <protection locked="0"/>
    </xf>
    <xf numFmtId="0" fontId="14" fillId="6" borderId="44" xfId="0" applyFont="1" applyFill="1" applyBorder="1" applyAlignment="1" applyProtection="1">
      <alignment horizontal="left" vertical="top" wrapText="1"/>
      <protection locked="0"/>
    </xf>
    <xf numFmtId="0" fontId="14" fillId="6" borderId="45" xfId="0" applyFont="1" applyFill="1" applyBorder="1" applyAlignment="1" applyProtection="1">
      <alignment horizontal="left" vertical="top" wrapText="1"/>
      <protection locked="0"/>
    </xf>
    <xf numFmtId="0" fontId="14" fillId="6" borderId="2" xfId="0" applyFont="1" applyFill="1" applyBorder="1" applyAlignment="1" applyProtection="1">
      <alignment horizontal="left" vertical="top" wrapText="1"/>
      <protection locked="0"/>
    </xf>
    <xf numFmtId="0" fontId="14" fillId="6" borderId="46" xfId="0" applyFont="1" applyFill="1" applyBorder="1" applyAlignment="1" applyProtection="1">
      <alignment horizontal="left" vertical="top" wrapText="1"/>
      <protection locked="0"/>
    </xf>
    <xf numFmtId="0" fontId="4" fillId="3" borderId="10" xfId="0" applyFont="1" applyFill="1" applyBorder="1" applyAlignment="1">
      <alignment vertical="center" wrapText="1"/>
    </xf>
    <xf numFmtId="0" fontId="0" fillId="8" borderId="4" xfId="0" applyFill="1" applyBorder="1" applyAlignment="1" applyProtection="1">
      <alignment horizontal="center" vertical="center"/>
    </xf>
    <xf numFmtId="0" fontId="0" fillId="8" borderId="6" xfId="0" applyFill="1" applyBorder="1" applyAlignment="1" applyProtection="1">
      <alignment horizontal="center" vertical="center"/>
    </xf>
    <xf numFmtId="49" fontId="0" fillId="6" borderId="4" xfId="0" applyNumberFormat="1" applyFill="1" applyBorder="1" applyAlignment="1" applyProtection="1">
      <alignment horizontal="center" vertical="center"/>
      <protection locked="0"/>
    </xf>
    <xf numFmtId="49" fontId="0" fillId="6" borderId="6" xfId="0" applyNumberFormat="1" applyFill="1" applyBorder="1" applyAlignment="1" applyProtection="1">
      <alignment horizontal="center" vertical="center"/>
      <protection locked="0"/>
    </xf>
    <xf numFmtId="0" fontId="15" fillId="8" borderId="4"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0" fillId="8" borderId="6" xfId="0" applyFill="1" applyBorder="1" applyAlignment="1">
      <alignment horizontal="center" vertical="center" wrapText="1"/>
    </xf>
    <xf numFmtId="0" fontId="0" fillId="8" borderId="4" xfId="0" applyFill="1" applyBorder="1" applyAlignment="1" applyProtection="1"/>
    <xf numFmtId="0" fontId="0" fillId="8" borderId="5" xfId="0" applyFill="1" applyBorder="1" applyAlignment="1" applyProtection="1"/>
    <xf numFmtId="0" fontId="0" fillId="8" borderId="6" xfId="0" applyFill="1" applyBorder="1" applyAlignment="1" applyProtection="1"/>
    <xf numFmtId="0" fontId="24" fillId="8" borderId="4" xfId="0" applyFont="1" applyFill="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5" fillId="3" borderId="3" xfId="0" applyFont="1" applyFill="1" applyBorder="1" applyAlignment="1">
      <alignment vertical="center" wrapText="1"/>
    </xf>
    <xf numFmtId="0" fontId="14" fillId="0" borderId="3" xfId="0" applyFont="1" applyBorder="1" applyAlignment="1">
      <alignment vertical="center" wrapText="1"/>
    </xf>
    <xf numFmtId="0" fontId="14" fillId="0" borderId="3" xfId="0" applyFont="1" applyBorder="1" applyAlignment="1">
      <alignment wrapText="1"/>
    </xf>
    <xf numFmtId="0" fontId="14" fillId="6" borderId="4" xfId="0" applyFont="1" applyFill="1" applyBorder="1" applyAlignment="1" applyProtection="1">
      <alignment horizontal="left" vertical="top" wrapText="1"/>
      <protection locked="0"/>
    </xf>
    <xf numFmtId="0" fontId="14" fillId="6" borderId="5" xfId="0" applyFont="1" applyFill="1" applyBorder="1" applyAlignment="1" applyProtection="1">
      <alignment horizontal="left" vertical="top" wrapText="1"/>
      <protection locked="0"/>
    </xf>
    <xf numFmtId="0" fontId="14" fillId="6" borderId="6" xfId="0" applyFont="1" applyFill="1" applyBorder="1" applyAlignment="1" applyProtection="1">
      <alignment horizontal="left" vertical="top" wrapText="1"/>
      <protection locked="0"/>
    </xf>
    <xf numFmtId="0" fontId="4" fillId="3" borderId="10" xfId="0" applyFont="1" applyFill="1" applyBorder="1" applyAlignment="1">
      <alignment horizontal="left" wrapText="1"/>
    </xf>
    <xf numFmtId="0" fontId="0" fillId="0" borderId="8" xfId="0" applyBorder="1" applyAlignment="1">
      <alignment horizontal="left" wrapText="1"/>
    </xf>
    <xf numFmtId="0" fontId="0" fillId="0" borderId="11" xfId="0" applyBorder="1" applyAlignment="1">
      <alignment horizontal="left" wrapText="1"/>
    </xf>
    <xf numFmtId="0" fontId="14" fillId="8" borderId="4"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4" xfId="0" applyFont="1" applyFill="1" applyBorder="1" applyAlignment="1">
      <alignment vertical="center"/>
    </xf>
    <xf numFmtId="0" fontId="14" fillId="8" borderId="5" xfId="0" applyFont="1" applyFill="1" applyBorder="1" applyAlignment="1">
      <alignment vertical="center"/>
    </xf>
    <xf numFmtId="0" fontId="14" fillId="8" borderId="6" xfId="0" applyFont="1" applyFill="1" applyBorder="1" applyAlignment="1">
      <alignment vertical="center"/>
    </xf>
    <xf numFmtId="0" fontId="47" fillId="8" borderId="7" xfId="0" applyFont="1" applyFill="1" applyBorder="1" applyAlignment="1">
      <alignment horizontal="left" vertical="top" wrapText="1"/>
    </xf>
    <xf numFmtId="0" fontId="61" fillId="0" borderId="0" xfId="0" applyFont="1" applyAlignment="1">
      <alignment horizontal="left" vertical="top" wrapText="1"/>
    </xf>
    <xf numFmtId="0" fontId="61" fillId="0" borderId="12" xfId="0" applyFont="1" applyBorder="1" applyAlignment="1">
      <alignment horizontal="left" vertical="top" wrapText="1"/>
    </xf>
    <xf numFmtId="0" fontId="61" fillId="0" borderId="7" xfId="0" applyFont="1" applyBorder="1" applyAlignment="1">
      <alignment horizontal="left" vertical="top" wrapText="1"/>
    </xf>
    <xf numFmtId="0" fontId="25" fillId="0" borderId="7" xfId="0" applyFont="1" applyBorder="1" applyAlignment="1">
      <alignment horizontal="left" vertical="top" wrapText="1"/>
    </xf>
    <xf numFmtId="0" fontId="25" fillId="0" borderId="0" xfId="0" applyFont="1" applyAlignment="1">
      <alignment horizontal="left" vertical="top" wrapText="1"/>
    </xf>
    <xf numFmtId="0" fontId="25" fillId="0" borderId="12" xfId="0" applyFont="1" applyBorder="1" applyAlignment="1">
      <alignment horizontal="left" vertical="top" wrapText="1"/>
    </xf>
    <xf numFmtId="0" fontId="25" fillId="0" borderId="13" xfId="0" applyFont="1" applyBorder="1" applyAlignment="1">
      <alignment horizontal="left" vertical="top" wrapText="1"/>
    </xf>
    <xf numFmtId="0" fontId="25" fillId="0" borderId="9" xfId="0" applyFont="1" applyBorder="1" applyAlignment="1">
      <alignment horizontal="left" vertical="top" wrapText="1"/>
    </xf>
    <xf numFmtId="0" fontId="25" fillId="0" borderId="14" xfId="0" applyFont="1" applyBorder="1" applyAlignment="1">
      <alignment horizontal="left" vertical="top" wrapText="1"/>
    </xf>
    <xf numFmtId="0" fontId="27" fillId="9" borderId="15" xfId="0"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3" xfId="0" applyFont="1" applyBorder="1" applyAlignment="1">
      <alignment horizontal="center" vertical="center" wrapText="1"/>
    </xf>
    <xf numFmtId="0" fontId="26" fillId="6" borderId="10"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4" fillId="9" borderId="10" xfId="0" applyFont="1" applyFill="1" applyBorder="1" applyAlignment="1">
      <alignment vertical="center" wrapText="1"/>
    </xf>
    <xf numFmtId="0" fontId="0" fillId="9" borderId="8" xfId="0" applyFill="1" applyBorder="1" applyAlignment="1">
      <alignment vertical="center" wrapText="1"/>
    </xf>
    <xf numFmtId="0" fontId="0" fillId="0" borderId="8" xfId="0" applyBorder="1" applyAlignment="1">
      <alignment vertical="center" wrapText="1"/>
    </xf>
    <xf numFmtId="0" fontId="0" fillId="0" borderId="11" xfId="0" applyBorder="1" applyAlignment="1">
      <alignment vertical="center" wrapText="1"/>
    </xf>
    <xf numFmtId="0" fontId="0" fillId="9" borderId="13" xfId="0" applyFill="1" applyBorder="1" applyAlignment="1">
      <alignment vertical="center" wrapText="1"/>
    </xf>
    <xf numFmtId="0" fontId="0" fillId="9" borderId="9" xfId="0" applyFill="1" applyBorder="1" applyAlignment="1">
      <alignment vertical="center" wrapText="1"/>
    </xf>
    <xf numFmtId="0" fontId="0" fillId="0" borderId="9" xfId="0" applyBorder="1" applyAlignment="1">
      <alignment vertical="center" wrapText="1"/>
    </xf>
    <xf numFmtId="0" fontId="0" fillId="0" borderId="14" xfId="0" applyBorder="1" applyAlignment="1">
      <alignment vertical="center" wrapText="1"/>
    </xf>
    <xf numFmtId="0" fontId="27" fillId="9" borderId="3" xfId="0" applyFont="1" applyFill="1" applyBorder="1" applyAlignment="1">
      <alignment horizontal="left" wrapText="1"/>
    </xf>
    <xf numFmtId="0" fontId="27" fillId="9" borderId="15" xfId="0" applyFont="1" applyFill="1" applyBorder="1" applyAlignment="1">
      <alignment horizontal="center" wrapText="1"/>
    </xf>
    <xf numFmtId="0" fontId="27" fillId="0" borderId="15" xfId="0" applyFont="1" applyBorder="1" applyAlignment="1">
      <alignment horizontal="center" wrapText="1"/>
    </xf>
    <xf numFmtId="0" fontId="27" fillId="0" borderId="3" xfId="0" applyFont="1" applyBorder="1" applyAlignment="1">
      <alignment horizontal="center" wrapText="1"/>
    </xf>
    <xf numFmtId="0" fontId="27" fillId="9" borderId="10" xfId="0" applyFont="1" applyFill="1" applyBorder="1" applyAlignment="1">
      <alignment horizontal="center" wrapText="1"/>
    </xf>
    <xf numFmtId="0" fontId="27" fillId="0" borderId="8" xfId="0" applyFont="1" applyBorder="1" applyAlignment="1">
      <alignment horizontal="center" wrapText="1"/>
    </xf>
    <xf numFmtId="0" fontId="27" fillId="0" borderId="11" xfId="0" applyFont="1" applyBorder="1" applyAlignment="1">
      <alignment horizontal="center" wrapText="1"/>
    </xf>
    <xf numFmtId="0" fontId="27" fillId="0" borderId="13" xfId="0" applyFont="1" applyBorder="1" applyAlignment="1">
      <alignment horizontal="center" wrapText="1"/>
    </xf>
    <xf numFmtId="0" fontId="27" fillId="0" borderId="9" xfId="0" applyFont="1" applyBorder="1" applyAlignment="1">
      <alignment horizontal="center" wrapText="1"/>
    </xf>
    <xf numFmtId="0" fontId="27" fillId="0" borderId="14" xfId="0" applyFont="1" applyBorder="1" applyAlignment="1">
      <alignment horizontal="center" wrapText="1"/>
    </xf>
    <xf numFmtId="0" fontId="27" fillId="0" borderId="16" xfId="0" applyFont="1" applyBorder="1" applyAlignment="1">
      <alignment horizontal="center" wrapText="1"/>
    </xf>
    <xf numFmtId="0" fontId="0" fillId="0" borderId="15" xfId="0" applyBorder="1" applyAlignment="1">
      <alignment horizontal="center" wrapText="1"/>
    </xf>
    <xf numFmtId="0" fontId="14" fillId="9" borderId="7" xfId="0" applyFont="1" applyFill="1" applyBorder="1" applyAlignment="1" applyProtection="1">
      <alignment wrapText="1"/>
      <protection locked="0"/>
    </xf>
    <xf numFmtId="0" fontId="14" fillId="0" borderId="12" xfId="0" applyFont="1" applyBorder="1" applyAlignment="1" applyProtection="1">
      <alignment wrapText="1"/>
      <protection locked="0"/>
    </xf>
    <xf numFmtId="0" fontId="14" fillId="9" borderId="13" xfId="0" applyFont="1" applyFill="1" applyBorder="1" applyAlignment="1" applyProtection="1">
      <alignment wrapText="1"/>
      <protection locked="0"/>
    </xf>
    <xf numFmtId="0" fontId="14" fillId="0" borderId="14" xfId="0" applyFont="1" applyBorder="1" applyAlignment="1" applyProtection="1">
      <alignment wrapText="1"/>
      <protection locked="0"/>
    </xf>
    <xf numFmtId="0" fontId="14" fillId="9" borderId="7" xfId="0" applyFont="1" applyFill="1" applyBorder="1" applyAlignment="1" applyProtection="1">
      <alignment horizontal="left" wrapText="1"/>
      <protection locked="0"/>
    </xf>
    <xf numFmtId="0" fontId="14" fillId="9" borderId="12" xfId="0" applyFont="1" applyFill="1" applyBorder="1" applyAlignment="1" applyProtection="1">
      <alignment horizontal="left" wrapText="1"/>
      <protection locked="0"/>
    </xf>
    <xf numFmtId="0" fontId="14" fillId="9" borderId="7" xfId="0" applyFont="1" applyFill="1" applyBorder="1" applyAlignment="1" applyProtection="1">
      <alignment horizontal="center"/>
      <protection locked="0"/>
    </xf>
    <xf numFmtId="0" fontId="14" fillId="0" borderId="12" xfId="0" applyFont="1" applyBorder="1" applyAlignment="1" applyProtection="1">
      <alignment horizontal="center"/>
      <protection locked="0"/>
    </xf>
    <xf numFmtId="0" fontId="14" fillId="9" borderId="13" xfId="0" applyFont="1" applyFill="1" applyBorder="1" applyAlignment="1" applyProtection="1">
      <alignment horizontal="center"/>
      <protection locked="0"/>
    </xf>
    <xf numFmtId="0" fontId="14" fillId="0" borderId="14" xfId="0" applyFont="1" applyBorder="1" applyAlignment="1" applyProtection="1">
      <alignment horizontal="center"/>
      <protection locked="0"/>
    </xf>
    <xf numFmtId="0" fontId="14" fillId="9" borderId="10" xfId="0" applyFont="1" applyFill="1" applyBorder="1" applyAlignment="1" applyProtection="1">
      <alignment horizontal="center"/>
      <protection locked="0"/>
    </xf>
    <xf numFmtId="0" fontId="14" fillId="0" borderId="11" xfId="0" applyFont="1" applyBorder="1" applyAlignment="1" applyProtection="1">
      <alignment horizontal="center"/>
      <protection locked="0"/>
    </xf>
    <xf numFmtId="0" fontId="14" fillId="9" borderId="10" xfId="0" applyFont="1" applyFill="1" applyBorder="1" applyAlignment="1" applyProtection="1">
      <alignment horizontal="left" wrapText="1"/>
      <protection locked="0"/>
    </xf>
    <xf numFmtId="0" fontId="14" fillId="0" borderId="11" xfId="0" applyFont="1" applyBorder="1" applyAlignment="1" applyProtection="1">
      <alignment horizontal="left" wrapText="1"/>
      <protection locked="0"/>
    </xf>
    <xf numFmtId="0" fontId="14" fillId="9" borderId="13" xfId="0" applyFont="1" applyFill="1" applyBorder="1" applyAlignment="1" applyProtection="1">
      <alignment horizontal="left" wrapText="1"/>
      <protection locked="0"/>
    </xf>
    <xf numFmtId="0" fontId="14" fillId="9" borderId="14" xfId="0" applyFont="1" applyFill="1" applyBorder="1" applyAlignment="1" applyProtection="1">
      <alignment horizontal="left" wrapText="1"/>
      <protection locked="0"/>
    </xf>
    <xf numFmtId="0" fontId="14" fillId="9" borderId="0" xfId="0" applyFont="1" applyFill="1" applyBorder="1" applyAlignment="1" applyProtection="1">
      <alignment horizontal="center"/>
      <protection locked="0"/>
    </xf>
    <xf numFmtId="0" fontId="14" fillId="9" borderId="9" xfId="0" applyFont="1" applyFill="1" applyBorder="1" applyAlignment="1" applyProtection="1">
      <alignment horizontal="center"/>
      <protection locked="0"/>
    </xf>
    <xf numFmtId="0" fontId="62" fillId="9" borderId="7" xfId="0" applyFont="1" applyFill="1" applyBorder="1" applyAlignment="1" applyProtection="1">
      <alignment horizontal="center" wrapText="1"/>
    </xf>
    <xf numFmtId="0" fontId="62" fillId="0" borderId="0" xfId="0" applyFont="1" applyBorder="1" applyAlignment="1" applyProtection="1">
      <alignment horizontal="center" wrapText="1"/>
    </xf>
    <xf numFmtId="0" fontId="62" fillId="0" borderId="12" xfId="0" applyFont="1" applyBorder="1" applyAlignment="1" applyProtection="1">
      <alignment horizontal="center" wrapText="1"/>
    </xf>
    <xf numFmtId="0" fontId="62" fillId="9" borderId="13" xfId="0" applyFont="1" applyFill="1" applyBorder="1" applyAlignment="1" applyProtection="1">
      <alignment horizontal="center" wrapText="1"/>
    </xf>
    <xf numFmtId="0" fontId="62" fillId="0" borderId="9" xfId="0" applyFont="1" applyBorder="1" applyAlignment="1" applyProtection="1">
      <alignment horizontal="center" wrapText="1"/>
    </xf>
    <xf numFmtId="0" fontId="62" fillId="0" borderId="14" xfId="0" applyFont="1" applyBorder="1" applyAlignment="1" applyProtection="1">
      <alignment horizontal="center" wrapText="1"/>
    </xf>
    <xf numFmtId="0" fontId="62" fillId="9" borderId="10" xfId="0" applyFont="1" applyFill="1" applyBorder="1" applyAlignment="1" applyProtection="1">
      <alignment horizontal="center" wrapText="1"/>
    </xf>
    <xf numFmtId="0" fontId="62" fillId="0" borderId="8" xfId="0" applyFont="1" applyBorder="1" applyAlignment="1" applyProtection="1">
      <alignment horizontal="center" wrapText="1"/>
    </xf>
    <xf numFmtId="0" fontId="62" fillId="0" borderId="11" xfId="0" applyFont="1" applyBorder="1" applyAlignment="1" applyProtection="1">
      <alignment horizontal="center" wrapText="1"/>
    </xf>
    <xf numFmtId="43" fontId="7" fillId="8" borderId="33" xfId="1" applyNumberFormat="1" applyFont="1" applyFill="1" applyBorder="1" applyAlignment="1">
      <alignment horizontal="center" vertical="center"/>
    </xf>
    <xf numFmtId="43" fontId="7" fillId="8" borderId="18" xfId="1" applyNumberFormat="1" applyFont="1" applyFill="1" applyBorder="1" applyAlignment="1">
      <alignment horizontal="center" vertical="center"/>
    </xf>
    <xf numFmtId="43" fontId="7" fillId="8" borderId="19" xfId="1" applyNumberFormat="1" applyFont="1" applyFill="1" applyBorder="1" applyAlignment="1">
      <alignment horizontal="center" vertical="center"/>
    </xf>
    <xf numFmtId="43" fontId="7" fillId="8" borderId="3" xfId="0" applyNumberFormat="1" applyFont="1" applyFill="1" applyBorder="1" applyAlignment="1"/>
    <xf numFmtId="43" fontId="0" fillId="8" borderId="3" xfId="0" applyNumberFormat="1" applyFill="1" applyBorder="1" applyAlignment="1"/>
    <xf numFmtId="0" fontId="46" fillId="9" borderId="10" xfId="2" applyFont="1" applyFill="1" applyBorder="1" applyAlignment="1" applyProtection="1">
      <alignment horizontal="left" vertical="top"/>
      <protection locked="0"/>
    </xf>
    <xf numFmtId="0" fontId="15" fillId="9" borderId="8" xfId="0" applyFont="1" applyFill="1" applyBorder="1" applyAlignment="1">
      <alignment horizontal="left" vertical="top"/>
    </xf>
    <xf numFmtId="0" fontId="15" fillId="9" borderId="11" xfId="0" applyFont="1" applyFill="1" applyBorder="1" applyAlignment="1">
      <alignment horizontal="left" vertical="top"/>
    </xf>
    <xf numFmtId="0" fontId="7" fillId="0" borderId="8" xfId="0" applyFont="1" applyBorder="1" applyAlignment="1"/>
    <xf numFmtId="0" fontId="0" fillId="0" borderId="8" xfId="0" applyBorder="1" applyAlignment="1"/>
    <xf numFmtId="0" fontId="7" fillId="0" borderId="0" xfId="0" applyFont="1" applyAlignment="1">
      <alignment wrapText="1"/>
    </xf>
    <xf numFmtId="0" fontId="46" fillId="9" borderId="4" xfId="2" applyFont="1" applyFill="1" applyBorder="1" applyAlignment="1" applyProtection="1">
      <alignment horizontal="left" vertical="top"/>
      <protection locked="0"/>
    </xf>
    <xf numFmtId="0" fontId="15" fillId="9" borderId="5" xfId="0" applyFont="1" applyFill="1" applyBorder="1" applyAlignment="1">
      <alignment horizontal="left" vertical="top"/>
    </xf>
    <xf numFmtId="0" fontId="15" fillId="9" borderId="6" xfId="0" applyFont="1" applyFill="1" applyBorder="1" applyAlignment="1">
      <alignment horizontal="left" vertical="top"/>
    </xf>
    <xf numFmtId="0" fontId="35" fillId="7" borderId="13"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18" fillId="4" borderId="0" xfId="0" applyFont="1" applyFill="1" applyBorder="1" applyAlignment="1">
      <alignment horizontal="center" wrapText="1"/>
    </xf>
    <xf numFmtId="0" fontId="22" fillId="5" borderId="0" xfId="0" applyFont="1" applyFill="1" applyBorder="1" applyAlignment="1">
      <alignment horizontal="center" wrapText="1"/>
    </xf>
    <xf numFmtId="0" fontId="16" fillId="15" borderId="0" xfId="0" applyFont="1" applyFill="1" applyBorder="1" applyAlignment="1">
      <alignment horizontal="center" wrapText="1"/>
    </xf>
    <xf numFmtId="0" fontId="3" fillId="15" borderId="0" xfId="0" applyFont="1" applyFill="1" applyAlignment="1">
      <alignment wrapText="1"/>
    </xf>
    <xf numFmtId="0" fontId="3" fillId="15" borderId="0" xfId="0" applyFont="1" applyFill="1" applyAlignment="1">
      <alignment horizontal="center" wrapText="1"/>
    </xf>
    <xf numFmtId="0" fontId="19" fillId="15" borderId="32" xfId="2" applyFont="1" applyFill="1" applyBorder="1" applyAlignment="1">
      <alignment horizontal="center" wrapText="1"/>
    </xf>
    <xf numFmtId="0" fontId="19" fillId="15" borderId="0" xfId="2" applyFont="1" applyFill="1" applyBorder="1" applyAlignment="1">
      <alignment horizontal="center" wrapText="1"/>
    </xf>
    <xf numFmtId="0" fontId="25" fillId="0" borderId="0" xfId="0" applyFont="1" applyAlignment="1">
      <alignment horizontal="center" wrapText="1"/>
    </xf>
    <xf numFmtId="0" fontId="7" fillId="6" borderId="33" xfId="2" applyFont="1" applyFill="1" applyBorder="1" applyAlignment="1">
      <alignment horizontal="left" vertical="center" wrapText="1"/>
    </xf>
    <xf numFmtId="0" fontId="7" fillId="6" borderId="18" xfId="2" applyFont="1" applyFill="1" applyBorder="1" applyAlignment="1">
      <alignment horizontal="left" vertical="center" wrapText="1"/>
    </xf>
    <xf numFmtId="0" fontId="7" fillId="6" borderId="19" xfId="2" applyFont="1" applyFill="1" applyBorder="1" applyAlignment="1">
      <alignment horizontal="left" vertical="center" wrapText="1"/>
    </xf>
    <xf numFmtId="0" fontId="7" fillId="0" borderId="33" xfId="2" applyFont="1" applyFill="1" applyBorder="1" applyAlignment="1" applyProtection="1">
      <alignment horizontal="center" vertical="center"/>
      <protection locked="0"/>
    </xf>
    <xf numFmtId="0" fontId="7" fillId="0" borderId="18" xfId="2" applyFont="1" applyFill="1" applyBorder="1" applyAlignment="1" applyProtection="1">
      <alignment horizontal="center" vertical="center"/>
      <protection locked="0"/>
    </xf>
    <xf numFmtId="0" fontId="7" fillId="0" borderId="19" xfId="2" applyFont="1" applyFill="1" applyBorder="1" applyAlignment="1" applyProtection="1">
      <alignment horizontal="center" vertical="center"/>
      <protection locked="0"/>
    </xf>
    <xf numFmtId="44" fontId="7" fillId="9" borderId="33" xfId="1" applyFont="1" applyFill="1" applyBorder="1" applyAlignment="1">
      <alignment horizontal="center" vertical="center"/>
    </xf>
    <xf numFmtId="44" fontId="7" fillId="9" borderId="18" xfId="1" applyFont="1" applyFill="1" applyBorder="1" applyAlignment="1">
      <alignment horizontal="center" vertical="center"/>
    </xf>
    <xf numFmtId="44" fontId="7" fillId="9" borderId="19" xfId="1" applyFont="1" applyFill="1" applyBorder="1" applyAlignment="1">
      <alignment horizontal="center" vertical="center"/>
    </xf>
    <xf numFmtId="0" fontId="7" fillId="6" borderId="17" xfId="2" applyFont="1" applyFill="1" applyBorder="1" applyAlignment="1">
      <alignment horizontal="left" vertical="center" wrapText="1"/>
    </xf>
    <xf numFmtId="44" fontId="7" fillId="9" borderId="17" xfId="1" applyNumberFormat="1" applyFont="1" applyFill="1" applyBorder="1" applyAlignment="1">
      <alignment horizontal="center" vertical="center"/>
    </xf>
    <xf numFmtId="44" fontId="7" fillId="9" borderId="18" xfId="1" applyNumberFormat="1" applyFont="1" applyFill="1" applyBorder="1" applyAlignment="1">
      <alignment horizontal="center" vertical="center"/>
    </xf>
    <xf numFmtId="44" fontId="7" fillId="9" borderId="19" xfId="1" applyNumberFormat="1" applyFont="1" applyFill="1" applyBorder="1" applyAlignment="1">
      <alignment horizontal="center" vertical="center"/>
    </xf>
    <xf numFmtId="0" fontId="46" fillId="0" borderId="4" xfId="2" applyFont="1" applyFill="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0" fillId="9" borderId="0" xfId="0" applyFill="1" applyAlignment="1">
      <alignment wrapText="1"/>
    </xf>
    <xf numFmtId="0" fontId="0" fillId="9" borderId="0" xfId="0" applyFill="1" applyAlignment="1">
      <alignment horizontal="left" vertical="center" wrapText="1"/>
    </xf>
    <xf numFmtId="0" fontId="0" fillId="9" borderId="0" xfId="0" applyFill="1" applyAlignment="1">
      <alignment vertical="center" wrapText="1"/>
    </xf>
    <xf numFmtId="0" fontId="26" fillId="7" borderId="0" xfId="0" applyFont="1" applyFill="1" applyBorder="1" applyAlignment="1">
      <alignment horizontal="center" vertical="center"/>
    </xf>
    <xf numFmtId="0" fontId="0" fillId="7" borderId="0" xfId="0" applyFill="1" applyBorder="1" applyAlignment="1">
      <alignment vertical="center"/>
    </xf>
    <xf numFmtId="0" fontId="28" fillId="9" borderId="0" xfId="0" applyFont="1" applyFill="1" applyBorder="1" applyAlignment="1">
      <alignment horizontal="left" vertical="center" wrapText="1"/>
    </xf>
    <xf numFmtId="0" fontId="29" fillId="9" borderId="0" xfId="0" applyFont="1" applyFill="1" applyBorder="1" applyAlignment="1">
      <alignment vertical="center" wrapText="1"/>
    </xf>
    <xf numFmtId="0" fontId="29" fillId="9" borderId="2" xfId="0" applyFont="1" applyFill="1" applyBorder="1" applyAlignment="1">
      <alignment vertical="center" wrapText="1"/>
    </xf>
    <xf numFmtId="0" fontId="0" fillId="9" borderId="0" xfId="0" applyFont="1" applyFill="1" applyAlignment="1">
      <alignment vertical="center" wrapText="1"/>
    </xf>
    <xf numFmtId="0" fontId="0" fillId="9" borderId="0" xfId="0" applyFill="1" applyAlignment="1">
      <alignment horizontal="left" vertical="top" wrapText="1"/>
    </xf>
    <xf numFmtId="0" fontId="0" fillId="0" borderId="0" xfId="0" applyAlignment="1">
      <alignment horizontal="left" vertical="top" wrapText="1"/>
    </xf>
    <xf numFmtId="0" fontId="27" fillId="6" borderId="3" xfId="0" applyFont="1" applyFill="1" applyBorder="1" applyAlignment="1">
      <alignment wrapText="1"/>
    </xf>
    <xf numFmtId="0" fontId="14" fillId="6" borderId="3" xfId="0" applyFont="1" applyFill="1" applyBorder="1" applyAlignment="1">
      <alignment wrapText="1"/>
    </xf>
    <xf numFmtId="0" fontId="3" fillId="12" borderId="0" xfId="0" applyFont="1" applyFill="1" applyAlignment="1">
      <alignment horizontal="center"/>
    </xf>
    <xf numFmtId="0" fontId="27" fillId="6" borderId="3" xfId="0" applyFont="1" applyFill="1" applyBorder="1" applyAlignment="1">
      <alignment horizontal="left" wrapText="1"/>
    </xf>
    <xf numFmtId="0" fontId="27" fillId="6" borderId="59" xfId="0" applyFont="1" applyFill="1" applyBorder="1" applyAlignment="1">
      <alignment horizontal="left" wrapText="1"/>
    </xf>
    <xf numFmtId="0" fontId="14" fillId="6" borderId="59" xfId="0" applyFont="1" applyFill="1" applyBorder="1" applyAlignment="1">
      <alignment wrapText="1"/>
    </xf>
    <xf numFmtId="0" fontId="27" fillId="6" borderId="15" xfId="0" applyFont="1" applyFill="1" applyBorder="1" applyAlignment="1">
      <alignment horizontal="left" wrapText="1"/>
    </xf>
    <xf numFmtId="0" fontId="14" fillId="6" borderId="15" xfId="0" applyFont="1" applyFill="1" applyBorder="1" applyAlignment="1">
      <alignment wrapText="1"/>
    </xf>
    <xf numFmtId="0" fontId="3" fillId="21" borderId="3" xfId="0" applyFont="1" applyFill="1" applyBorder="1" applyAlignment="1">
      <alignment wrapText="1"/>
    </xf>
    <xf numFmtId="0" fontId="0" fillId="21" borderId="3" xfId="0" applyFill="1" applyBorder="1" applyAlignment="1">
      <alignment wrapText="1"/>
    </xf>
    <xf numFmtId="0" fontId="0" fillId="0" borderId="3" xfId="0" applyBorder="1" applyAlignment="1"/>
    <xf numFmtId="0" fontId="0" fillId="0" borderId="3" xfId="0" applyFont="1" applyBorder="1" applyAlignment="1" applyProtection="1">
      <alignment horizontal="left" vertical="top" wrapText="1"/>
      <protection locked="0"/>
    </xf>
    <xf numFmtId="0" fontId="0" fillId="0" borderId="3" xfId="0" applyBorder="1" applyAlignment="1" applyProtection="1">
      <alignment wrapText="1"/>
      <protection locked="0"/>
    </xf>
    <xf numFmtId="0" fontId="14" fillId="6" borderId="16" xfId="0" applyFont="1" applyFill="1" applyBorder="1" applyAlignment="1">
      <alignment wrapText="1"/>
    </xf>
    <xf numFmtId="0" fontId="3" fillId="21" borderId="3" xfId="0" applyFont="1" applyFill="1" applyBorder="1" applyAlignment="1">
      <alignment horizontal="center"/>
    </xf>
    <xf numFmtId="0" fontId="0" fillId="21" borderId="3" xfId="0" applyFont="1" applyFill="1" applyBorder="1" applyAlignment="1">
      <alignment horizontal="center"/>
    </xf>
    <xf numFmtId="0" fontId="65" fillId="22" borderId="0" xfId="0" applyFont="1" applyFill="1" applyBorder="1" applyAlignment="1" applyProtection="1">
      <alignment horizontal="center" vertical="center"/>
    </xf>
    <xf numFmtId="0" fontId="25" fillId="22" borderId="0" xfId="0" applyFont="1" applyFill="1" applyAlignment="1" applyProtection="1"/>
    <xf numFmtId="0" fontId="25" fillId="22" borderId="0" xfId="0" applyFont="1" applyFill="1" applyBorder="1" applyAlignment="1" applyProtection="1">
      <alignment vertical="center"/>
    </xf>
    <xf numFmtId="0" fontId="0" fillId="0" borderId="9" xfId="0" applyBorder="1" applyAlignment="1" applyProtection="1"/>
    <xf numFmtId="0" fontId="27" fillId="6" borderId="15" xfId="0" applyFont="1" applyFill="1" applyBorder="1" applyAlignment="1">
      <alignment wrapText="1"/>
    </xf>
    <xf numFmtId="0" fontId="27" fillId="6" borderId="13" xfId="0" applyFont="1" applyFill="1" applyBorder="1" applyAlignment="1">
      <alignment horizontal="left" wrapText="1"/>
    </xf>
    <xf numFmtId="0" fontId="14" fillId="0" borderId="9" xfId="0" applyFont="1" applyBorder="1" applyAlignment="1">
      <alignment wrapText="1"/>
    </xf>
    <xf numFmtId="0" fontId="14" fillId="0" borderId="14" xfId="0" applyFont="1" applyBorder="1" applyAlignment="1">
      <alignment wrapText="1"/>
    </xf>
    <xf numFmtId="0" fontId="27" fillId="6" borderId="4" xfId="0" applyFont="1" applyFill="1" applyBorder="1" applyAlignment="1">
      <alignment horizontal="left" wrapText="1"/>
    </xf>
    <xf numFmtId="0" fontId="14" fillId="0" borderId="5" xfId="0" applyFont="1" applyBorder="1" applyAlignment="1">
      <alignment wrapText="1"/>
    </xf>
    <xf numFmtId="0" fontId="14" fillId="0" borderId="6" xfId="0" applyFont="1" applyBorder="1" applyAlignment="1">
      <alignment wrapText="1"/>
    </xf>
    <xf numFmtId="0" fontId="27" fillId="6" borderId="61" xfId="0" applyFont="1" applyFill="1" applyBorder="1" applyAlignment="1">
      <alignment horizontal="left" wrapText="1"/>
    </xf>
    <xf numFmtId="0" fontId="14" fillId="0" borderId="62" xfId="0" applyFont="1" applyBorder="1" applyAlignment="1">
      <alignment wrapText="1"/>
    </xf>
    <xf numFmtId="0" fontId="14" fillId="0" borderId="63" xfId="0" applyFont="1" applyBorder="1" applyAlignment="1">
      <alignment wrapText="1"/>
    </xf>
    <xf numFmtId="0" fontId="0" fillId="0" borderId="2" xfId="0" applyFill="1" applyBorder="1" applyAlignment="1" applyProtection="1">
      <protection locked="0"/>
    </xf>
    <xf numFmtId="0" fontId="0" fillId="0" borderId="2" xfId="0" applyBorder="1" applyAlignment="1" applyProtection="1">
      <protection locked="0"/>
    </xf>
    <xf numFmtId="0" fontId="0" fillId="0" borderId="28" xfId="0" applyBorder="1" applyAlignment="1" applyProtection="1">
      <protection locked="0"/>
    </xf>
    <xf numFmtId="0" fontId="14" fillId="0" borderId="7" xfId="0" applyFont="1" applyBorder="1" applyAlignment="1" applyProtection="1">
      <alignment wrapText="1"/>
      <protection locked="0"/>
    </xf>
    <xf numFmtId="0" fontId="14" fillId="0" borderId="27" xfId="0" applyFont="1" applyBorder="1" applyAlignment="1" applyProtection="1">
      <alignment wrapText="1"/>
      <protection locked="0"/>
    </xf>
    <xf numFmtId="0" fontId="14" fillId="0" borderId="28" xfId="0" applyFont="1" applyBorder="1" applyAlignment="1" applyProtection="1">
      <alignment wrapText="1"/>
      <protection locked="0"/>
    </xf>
    <xf numFmtId="0" fontId="3" fillId="14" borderId="4" xfId="0" applyFont="1" applyFill="1" applyBorder="1" applyAlignment="1">
      <alignment horizontal="left"/>
    </xf>
    <xf numFmtId="0" fontId="3" fillId="14" borderId="5" xfId="0" applyFont="1" applyFill="1" applyBorder="1" applyAlignment="1">
      <alignment horizontal="left"/>
    </xf>
    <xf numFmtId="0" fontId="0" fillId="0" borderId="6" xfId="0" applyBorder="1" applyAlignment="1">
      <alignment horizontal="left"/>
    </xf>
    <xf numFmtId="0" fontId="3" fillId="13" borderId="4" xfId="0" applyFont="1" applyFill="1" applyBorder="1" applyAlignment="1">
      <alignment horizontal="left"/>
    </xf>
    <xf numFmtId="0" fontId="3" fillId="0" borderId="5" xfId="0" applyFont="1" applyBorder="1" applyAlignment="1">
      <alignment horizontal="left"/>
    </xf>
    <xf numFmtId="0" fontId="0" fillId="0" borderId="0" xfId="0" applyBorder="1" applyAlignment="1" applyProtection="1">
      <alignment wrapText="1"/>
      <protection locked="0"/>
    </xf>
    <xf numFmtId="0" fontId="14" fillId="9" borderId="10" xfId="0" applyFont="1" applyFill="1" applyBorder="1" applyAlignment="1" applyProtection="1">
      <alignment horizontal="left" vertical="top" wrapText="1"/>
      <protection locked="0"/>
    </xf>
    <xf numFmtId="0" fontId="14" fillId="9" borderId="8" xfId="0" applyFont="1" applyFill="1" applyBorder="1" applyAlignment="1" applyProtection="1">
      <alignment horizontal="left" vertical="top" wrapText="1"/>
      <protection locked="0"/>
    </xf>
    <xf numFmtId="0" fontId="14" fillId="0" borderId="11" xfId="0" applyFont="1" applyBorder="1" applyAlignment="1" applyProtection="1">
      <alignment wrapText="1"/>
      <protection locked="0"/>
    </xf>
    <xf numFmtId="0" fontId="14" fillId="9" borderId="7" xfId="0" applyFont="1" applyFill="1" applyBorder="1" applyAlignment="1" applyProtection="1">
      <alignment horizontal="left" vertical="top" wrapText="1"/>
      <protection locked="0"/>
    </xf>
    <xf numFmtId="0" fontId="14" fillId="9" borderId="0" xfId="0" applyFont="1" applyFill="1" applyBorder="1" applyAlignment="1" applyProtection="1">
      <alignment horizontal="left" vertical="top" wrapText="1"/>
      <protection locked="0"/>
    </xf>
    <xf numFmtId="0" fontId="0" fillId="0" borderId="7" xfId="0" applyBorder="1" applyAlignment="1" applyProtection="1">
      <alignment wrapText="1"/>
      <protection locked="0"/>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9" xfId="0" applyBorder="1" applyAlignment="1" applyProtection="1">
      <alignment wrapText="1"/>
      <protection locked="0"/>
    </xf>
    <xf numFmtId="0" fontId="0" fillId="0" borderId="14" xfId="0" applyBorder="1" applyAlignment="1" applyProtection="1">
      <alignment wrapText="1"/>
      <protection locked="0"/>
    </xf>
    <xf numFmtId="0" fontId="0" fillId="8" borderId="10" xfId="0" applyFill="1" applyBorder="1" applyAlignment="1"/>
    <xf numFmtId="0" fontId="0" fillId="0" borderId="11" xfId="0" applyBorder="1" applyAlignment="1"/>
    <xf numFmtId="0" fontId="0" fillId="0" borderId="7" xfId="0" applyBorder="1" applyAlignment="1"/>
    <xf numFmtId="0" fontId="0" fillId="0" borderId="12" xfId="0" applyBorder="1" applyAlignment="1"/>
    <xf numFmtId="0" fontId="0" fillId="0" borderId="13" xfId="0" applyBorder="1" applyAlignment="1"/>
    <xf numFmtId="0" fontId="0" fillId="0" borderId="9" xfId="0" applyBorder="1" applyAlignment="1"/>
    <xf numFmtId="0" fontId="0" fillId="0" borderId="14" xfId="0" applyBorder="1" applyAlignment="1"/>
    <xf numFmtId="0" fontId="14" fillId="0" borderId="13" xfId="0" applyFont="1" applyBorder="1" applyAlignment="1" applyProtection="1">
      <alignment wrapText="1"/>
      <protection locked="0"/>
    </xf>
    <xf numFmtId="0" fontId="14" fillId="0" borderId="9" xfId="0" applyFont="1" applyBorder="1" applyAlignment="1" applyProtection="1">
      <alignment wrapText="1"/>
      <protection locked="0"/>
    </xf>
    <xf numFmtId="0" fontId="14" fillId="0" borderId="0" xfId="0" applyFont="1" applyBorder="1" applyAlignment="1" applyProtection="1">
      <alignment wrapText="1"/>
      <protection locked="0"/>
    </xf>
    <xf numFmtId="0" fontId="0" fillId="0" borderId="0" xfId="0" applyBorder="1" applyAlignment="1" applyProtection="1">
      <protection locked="0"/>
    </xf>
    <xf numFmtId="0" fontId="0" fillId="0" borderId="0" xfId="0" applyFill="1" applyBorder="1" applyAlignment="1" applyProtection="1">
      <protection locked="0"/>
    </xf>
    <xf numFmtId="0" fontId="0" fillId="0" borderId="12" xfId="0" applyBorder="1" applyAlignment="1" applyProtection="1">
      <protection locked="0"/>
    </xf>
    <xf numFmtId="0" fontId="26" fillId="7" borderId="2" xfId="0" applyFont="1" applyFill="1" applyBorder="1" applyAlignment="1">
      <alignment horizontal="center" vertical="center"/>
    </xf>
    <xf numFmtId="0" fontId="0" fillId="0" borderId="2" xfId="0" applyBorder="1" applyAlignment="1"/>
    <xf numFmtId="0" fontId="10" fillId="13" borderId="25" xfId="0" applyFont="1" applyFill="1" applyBorder="1" applyAlignment="1">
      <alignment wrapText="1"/>
    </xf>
    <xf numFmtId="0" fontId="10" fillId="13" borderId="22" xfId="0" applyFont="1" applyFill="1" applyBorder="1" applyAlignment="1">
      <alignment wrapText="1"/>
    </xf>
    <xf numFmtId="0" fontId="10" fillId="13" borderId="9" xfId="0" applyFont="1" applyFill="1" applyBorder="1" applyAlignment="1">
      <alignment wrapText="1"/>
    </xf>
    <xf numFmtId="0" fontId="10" fillId="14" borderId="29" xfId="0" applyFont="1" applyFill="1" applyBorder="1" applyAlignment="1"/>
    <xf numFmtId="0" fontId="0" fillId="0" borderId="35" xfId="0" applyBorder="1" applyAlignment="1"/>
    <xf numFmtId="0" fontId="3" fillId="14" borderId="10" xfId="0" applyFont="1" applyFill="1" applyBorder="1" applyAlignment="1">
      <alignment horizontal="center"/>
    </xf>
    <xf numFmtId="0" fontId="3" fillId="14" borderId="8" xfId="0" applyFont="1" applyFill="1" applyBorder="1" applyAlignment="1">
      <alignment horizontal="center"/>
    </xf>
    <xf numFmtId="0" fontId="14" fillId="9" borderId="13" xfId="0" applyFont="1" applyFill="1" applyBorder="1" applyAlignment="1" applyProtection="1">
      <alignment horizontal="left" vertical="top" wrapText="1"/>
      <protection locked="0"/>
    </xf>
    <xf numFmtId="0" fontId="14" fillId="9" borderId="9" xfId="0" applyFont="1" applyFill="1" applyBorder="1" applyAlignment="1" applyProtection="1">
      <alignment horizontal="left" vertical="top" wrapText="1"/>
      <protection locked="0"/>
    </xf>
    <xf numFmtId="0" fontId="10" fillId="12" borderId="13" xfId="0" applyFont="1" applyFill="1" applyBorder="1" applyAlignment="1">
      <alignment wrapText="1"/>
    </xf>
    <xf numFmtId="0" fontId="10" fillId="0" borderId="9" xfId="0" applyFont="1" applyBorder="1" applyAlignment="1">
      <alignment wrapText="1"/>
    </xf>
    <xf numFmtId="0" fontId="3" fillId="6" borderId="10" xfId="0" applyFont="1" applyFill="1" applyBorder="1" applyAlignment="1">
      <alignment horizontal="center" vertical="center" wrapText="1"/>
    </xf>
    <xf numFmtId="0" fontId="0" fillId="6" borderId="8" xfId="0" applyFill="1" applyBorder="1" applyAlignment="1">
      <alignment wrapText="1"/>
    </xf>
    <xf numFmtId="0" fontId="3" fillId="6" borderId="56" xfId="0" applyFont="1" applyFill="1" applyBorder="1" applyAlignment="1">
      <alignment horizontal="center" wrapText="1"/>
    </xf>
    <xf numFmtId="0" fontId="0" fillId="0" borderId="57" xfId="0" applyBorder="1" applyAlignment="1">
      <alignment horizontal="center" wrapText="1"/>
    </xf>
    <xf numFmtId="0" fontId="10" fillId="6" borderId="9" xfId="0" applyFont="1" applyFill="1" applyBorder="1" applyAlignment="1">
      <alignment horizontal="left"/>
    </xf>
    <xf numFmtId="0" fontId="0" fillId="0" borderId="9" xfId="0" applyFont="1" applyBorder="1" applyAlignment="1">
      <alignment horizontal="left"/>
    </xf>
    <xf numFmtId="0" fontId="0" fillId="0" borderId="0" xfId="0" applyFont="1" applyBorder="1" applyAlignment="1">
      <alignment horizontal="left"/>
    </xf>
    <xf numFmtId="0" fontId="3" fillId="12" borderId="13" xfId="0" applyFont="1" applyFill="1" applyBorder="1" applyAlignment="1">
      <alignment horizontal="center" wrapText="1"/>
    </xf>
    <xf numFmtId="0" fontId="0" fillId="0" borderId="14" xfId="0" applyBorder="1" applyAlignment="1">
      <alignment horizontal="center" wrapText="1"/>
    </xf>
    <xf numFmtId="0" fontId="14" fillId="0" borderId="10" xfId="0" applyFont="1" applyBorder="1" applyAlignment="1" applyProtection="1">
      <alignment wrapText="1"/>
      <protection locked="0"/>
    </xf>
    <xf numFmtId="0" fontId="0" fillId="0" borderId="8" xfId="0" applyFill="1" applyBorder="1" applyAlignment="1" applyProtection="1">
      <protection locked="0"/>
    </xf>
    <xf numFmtId="0" fontId="0" fillId="0" borderId="8" xfId="0" applyBorder="1" applyAlignment="1" applyProtection="1">
      <protection locked="0"/>
    </xf>
    <xf numFmtId="0" fontId="0" fillId="0" borderId="11" xfId="0" applyBorder="1" applyAlignment="1" applyProtection="1">
      <protection locked="0"/>
    </xf>
    <xf numFmtId="0" fontId="0" fillId="0" borderId="0" xfId="0" applyBorder="1" applyAlignment="1" applyProtection="1"/>
    <xf numFmtId="0" fontId="0" fillId="0" borderId="64" xfId="0" applyBorder="1" applyAlignment="1"/>
    <xf numFmtId="0" fontId="3" fillId="7" borderId="4" xfId="0" applyFont="1" applyFill="1" applyBorder="1" applyAlignment="1">
      <alignment horizontal="center"/>
    </xf>
    <xf numFmtId="0" fontId="0" fillId="0" borderId="6" xfId="0" applyBorder="1" applyAlignment="1">
      <alignment horizontal="center"/>
    </xf>
    <xf numFmtId="0" fontId="0" fillId="0" borderId="8" xfId="0" applyBorder="1" applyAlignment="1" applyProtection="1"/>
    <xf numFmtId="0" fontId="41" fillId="0" borderId="0" xfId="0" applyFont="1" applyAlignment="1">
      <alignment horizontal="center"/>
    </xf>
    <xf numFmtId="0" fontId="0" fillId="6" borderId="0" xfId="0" applyFill="1" applyAlignment="1" applyProtection="1">
      <alignment horizontal="center" vertical="center"/>
    </xf>
    <xf numFmtId="0" fontId="0" fillId="0" borderId="0" xfId="0" applyAlignment="1">
      <alignment horizontal="center" vertical="center"/>
    </xf>
    <xf numFmtId="0" fontId="3" fillId="0" borderId="0" xfId="0" applyFont="1" applyAlignment="1">
      <alignment horizontal="right" vertical="center"/>
    </xf>
    <xf numFmtId="0" fontId="41" fillId="0" borderId="0" xfId="0" applyFont="1" applyAlignment="1">
      <alignment horizontal="left"/>
    </xf>
    <xf numFmtId="0" fontId="42" fillId="0" borderId="0" xfId="0" applyFont="1" applyAlignment="1">
      <alignment horizontal="left"/>
    </xf>
    <xf numFmtId="0" fontId="67" fillId="0" borderId="0" xfId="0" applyFont="1" applyAlignment="1">
      <alignment horizontal="center"/>
    </xf>
    <xf numFmtId="0" fontId="0" fillId="0" borderId="10" xfId="0" applyBorder="1" applyAlignment="1" applyProtection="1">
      <alignment horizontal="center"/>
      <protection locked="0"/>
    </xf>
    <xf numFmtId="0" fontId="0" fillId="0" borderId="7" xfId="0" applyBorder="1" applyAlignment="1" applyProtection="1">
      <alignment horizontal="center"/>
      <protection locked="0"/>
    </xf>
    <xf numFmtId="2" fontId="0" fillId="0" borderId="69" xfId="0" applyNumberFormat="1" applyBorder="1"/>
    <xf numFmtId="0" fontId="15" fillId="6" borderId="9" xfId="0" applyFont="1" applyFill="1" applyBorder="1" applyAlignment="1">
      <alignment vertical="center"/>
    </xf>
    <xf numFmtId="0" fontId="15" fillId="6" borderId="9" xfId="0" applyFont="1" applyFill="1" applyBorder="1" applyAlignment="1">
      <alignment vertical="center" wrapText="1"/>
    </xf>
    <xf numFmtId="0" fontId="0" fillId="24" borderId="0" xfId="0" applyFill="1"/>
  </cellXfs>
  <cellStyles count="4">
    <cellStyle name="Currency" xfId="1" builtinId="4"/>
    <cellStyle name="Hyperlink" xfId="3" builtinId="8"/>
    <cellStyle name="Normal" xfId="0" builtinId="0"/>
    <cellStyle name="Output" xfId="2" builtinId="21"/>
  </cellStyles>
  <dxfs count="7">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ont>
        <color rgb="FFFF0000"/>
      </font>
    </dxf>
  </dxfs>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38100</xdr:rowOff>
    </xdr:from>
    <xdr:to>
      <xdr:col>10</xdr:col>
      <xdr:colOff>731520</xdr:colOff>
      <xdr:row>1</xdr:row>
      <xdr:rowOff>60960</xdr:rowOff>
    </xdr:to>
    <xdr:pic>
      <xdr:nvPicPr>
        <xdr:cNvPr id="6" name="Picture 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3180" y="38100"/>
          <a:ext cx="731520" cy="350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60960</xdr:colOff>
      <xdr:row>0</xdr:row>
      <xdr:rowOff>45720</xdr:rowOff>
    </xdr:from>
    <xdr:to>
      <xdr:col>0</xdr:col>
      <xdr:colOff>982980</xdr:colOff>
      <xdr:row>1</xdr:row>
      <xdr:rowOff>15240</xdr:rowOff>
    </xdr:to>
    <xdr:pic>
      <xdr:nvPicPr>
        <xdr:cNvPr id="7" name="Picture 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922020" cy="29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175260</xdr:colOff>
          <xdr:row>16</xdr:row>
          <xdr:rowOff>0</xdr:rowOff>
        </xdr:from>
        <xdr:to>
          <xdr:col>4</xdr:col>
          <xdr:colOff>594360</xdr:colOff>
          <xdr:row>17</xdr:row>
          <xdr:rowOff>0</xdr:rowOff>
        </xdr:to>
        <xdr:sp macro="" textlink="">
          <xdr:nvSpPr>
            <xdr:cNvPr id="1032" name="Check Box 8" descr="HUP"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HUP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16</xdr:row>
          <xdr:rowOff>22860</xdr:rowOff>
        </xdr:from>
        <xdr:to>
          <xdr:col>5</xdr:col>
          <xdr:colOff>289560</xdr:colOff>
          <xdr:row>16</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PPMC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396240</xdr:colOff>
          <xdr:row>16</xdr:row>
          <xdr:rowOff>53340</xdr:rowOff>
        </xdr:from>
        <xdr:to>
          <xdr:col>6</xdr:col>
          <xdr:colOff>205740</xdr:colOff>
          <xdr:row>16</xdr:row>
          <xdr:rowOff>213360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18</xdr:row>
          <xdr:rowOff>15240</xdr:rowOff>
        </xdr:from>
        <xdr:to>
          <xdr:col>5</xdr:col>
          <xdr:colOff>441960</xdr:colOff>
          <xdr:row>19</xdr:row>
          <xdr:rowOff>15240</xdr:rowOff>
        </xdr:to>
        <xdr:sp macro="" textlink="">
          <xdr:nvSpPr>
            <xdr:cNvPr id="1036" name="Check Box 12" descr="HUP"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Ravdin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18</xdr:row>
          <xdr:rowOff>15240</xdr:rowOff>
        </xdr:from>
        <xdr:to>
          <xdr:col>7</xdr:col>
          <xdr:colOff>281940</xdr:colOff>
          <xdr:row>19</xdr:row>
          <xdr:rowOff>15240</xdr:rowOff>
        </xdr:to>
        <xdr:sp macro="" textlink="">
          <xdr:nvSpPr>
            <xdr:cNvPr id="1038" name="Check Box 14" descr="HUP"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PCAM 4S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18</xdr:row>
          <xdr:rowOff>15240</xdr:rowOff>
        </xdr:from>
        <xdr:to>
          <xdr:col>8</xdr:col>
          <xdr:colOff>396240</xdr:colOff>
          <xdr:row>19</xdr:row>
          <xdr:rowOff>15240</xdr:rowOff>
        </xdr:to>
        <xdr:sp macro="" textlink="">
          <xdr:nvSpPr>
            <xdr:cNvPr id="1039" name="Check Box 15" descr="HUP"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Mutch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175260</xdr:colOff>
          <xdr:row>38</xdr:row>
          <xdr:rowOff>15240</xdr:rowOff>
        </xdr:to>
        <xdr:sp macro="" textlink="">
          <xdr:nvSpPr>
            <xdr:cNvPr id="1040" name="Check Box 16" descr="HUP"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3</xdr:col>
          <xdr:colOff>175260</xdr:colOff>
          <xdr:row>39</xdr:row>
          <xdr:rowOff>15240</xdr:rowOff>
        </xdr:to>
        <xdr:sp macro="" textlink="">
          <xdr:nvSpPr>
            <xdr:cNvPr id="1041" name="Check Box 17" descr="HUP"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15240</xdr:rowOff>
        </xdr:from>
        <xdr:to>
          <xdr:col>3</xdr:col>
          <xdr:colOff>175260</xdr:colOff>
          <xdr:row>40</xdr:row>
          <xdr:rowOff>22860</xdr:rowOff>
        </xdr:to>
        <xdr:sp macro="" textlink="">
          <xdr:nvSpPr>
            <xdr:cNvPr id="1042" name="Check Box 18" descr="HUP"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175260</xdr:colOff>
          <xdr:row>41</xdr:row>
          <xdr:rowOff>15240</xdr:rowOff>
        </xdr:to>
        <xdr:sp macro="" textlink="">
          <xdr:nvSpPr>
            <xdr:cNvPr id="1043" name="Check Box 19" descr="HUP"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175260</xdr:rowOff>
        </xdr:from>
        <xdr:to>
          <xdr:col>3</xdr:col>
          <xdr:colOff>175260</xdr:colOff>
          <xdr:row>42</xdr:row>
          <xdr:rowOff>15240</xdr:rowOff>
        </xdr:to>
        <xdr:sp macro="" textlink="">
          <xdr:nvSpPr>
            <xdr:cNvPr id="1044" name="Check Box 20" descr="HUP"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167640</xdr:rowOff>
        </xdr:from>
        <xdr:to>
          <xdr:col>3</xdr:col>
          <xdr:colOff>175260</xdr:colOff>
          <xdr:row>42</xdr:row>
          <xdr:rowOff>175260</xdr:rowOff>
        </xdr:to>
        <xdr:sp macro="" textlink="">
          <xdr:nvSpPr>
            <xdr:cNvPr id="1045" name="Check Box 21" descr="HUP"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42</xdr:row>
          <xdr:rowOff>167640</xdr:rowOff>
        </xdr:from>
        <xdr:to>
          <xdr:col>3</xdr:col>
          <xdr:colOff>175260</xdr:colOff>
          <xdr:row>43</xdr:row>
          <xdr:rowOff>175260</xdr:rowOff>
        </xdr:to>
        <xdr:sp macro="" textlink="">
          <xdr:nvSpPr>
            <xdr:cNvPr id="1046" name="Check Box 22" descr="HUP"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18</xdr:row>
          <xdr:rowOff>22860</xdr:rowOff>
        </xdr:from>
        <xdr:to>
          <xdr:col>5</xdr:col>
          <xdr:colOff>441960</xdr:colOff>
          <xdr:row>19</xdr:row>
          <xdr:rowOff>22860</xdr:rowOff>
        </xdr:to>
        <xdr:sp macro="" textlink="">
          <xdr:nvSpPr>
            <xdr:cNvPr id="1047" name="Check Box 23" descr="HUP"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18</xdr:row>
          <xdr:rowOff>22860</xdr:rowOff>
        </xdr:from>
        <xdr:to>
          <xdr:col>7</xdr:col>
          <xdr:colOff>289560</xdr:colOff>
          <xdr:row>19</xdr:row>
          <xdr:rowOff>22860</xdr:rowOff>
        </xdr:to>
        <xdr:sp macro="" textlink="">
          <xdr:nvSpPr>
            <xdr:cNvPr id="1048" name="Check Box 24" descr="HUP"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PCAM 4S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18</xdr:row>
          <xdr:rowOff>22860</xdr:rowOff>
        </xdr:from>
        <xdr:to>
          <xdr:col>8</xdr:col>
          <xdr:colOff>396240</xdr:colOff>
          <xdr:row>19</xdr:row>
          <xdr:rowOff>22860</xdr:rowOff>
        </xdr:to>
        <xdr:sp macro="" textlink="">
          <xdr:nvSpPr>
            <xdr:cNvPr id="1049" name="Check Box 25" descr="HUP"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Mutch</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IDSNorth@pennmedicine.upenn.edu"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PennIDS@pennmedicine.upenn.edu"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www.itmat.upenn.edu/ids.shtml"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2.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0"/>
    <pageSetUpPr fitToPage="1"/>
  </sheetPr>
  <dimension ref="A1:O57"/>
  <sheetViews>
    <sheetView tabSelected="1" zoomScaleNormal="100" workbookViewId="0">
      <selection activeCell="A29" sqref="A29"/>
    </sheetView>
  </sheetViews>
  <sheetFormatPr defaultColWidth="8.77734375" defaultRowHeight="14.4" x14ac:dyDescent="0.3"/>
  <sheetData>
    <row r="1" spans="1:15" x14ac:dyDescent="0.3">
      <c r="A1" s="141" t="s">
        <v>150</v>
      </c>
      <c r="B1" s="3"/>
      <c r="C1" s="3"/>
      <c r="D1" s="3"/>
      <c r="E1" s="3"/>
      <c r="F1" s="3"/>
      <c r="G1" s="3"/>
      <c r="H1" s="3"/>
      <c r="I1" s="3"/>
      <c r="J1" s="3"/>
      <c r="K1" s="3"/>
      <c r="L1" s="3"/>
    </row>
    <row r="2" spans="1:15" x14ac:dyDescent="0.3">
      <c r="A2" s="120"/>
      <c r="B2" s="3"/>
      <c r="C2" s="3"/>
      <c r="D2" s="3"/>
      <c r="E2" s="3"/>
      <c r="F2" s="3"/>
      <c r="G2" s="3"/>
      <c r="H2" s="3"/>
      <c r="I2" s="3"/>
      <c r="J2" s="3"/>
      <c r="K2" s="3"/>
      <c r="L2" s="3"/>
    </row>
    <row r="3" spans="1:15" x14ac:dyDescent="0.3">
      <c r="A3" s="120" t="s">
        <v>164</v>
      </c>
      <c r="B3" s="3"/>
      <c r="C3" s="3"/>
      <c r="D3" s="3"/>
      <c r="E3" s="3"/>
      <c r="F3" s="3"/>
      <c r="G3" s="3"/>
      <c r="H3" s="3"/>
      <c r="I3" s="3"/>
      <c r="J3" s="3"/>
      <c r="K3" s="3"/>
      <c r="L3" s="3"/>
    </row>
    <row r="4" spans="1:15" x14ac:dyDescent="0.3">
      <c r="A4" s="120" t="s">
        <v>151</v>
      </c>
      <c r="B4" s="3"/>
      <c r="C4" s="3"/>
      <c r="D4" s="3"/>
      <c r="E4" s="3"/>
      <c r="F4" s="3"/>
      <c r="G4" s="3"/>
      <c r="H4" s="3"/>
      <c r="I4" s="3"/>
      <c r="J4" s="3"/>
      <c r="K4" s="3"/>
      <c r="L4" s="3"/>
    </row>
    <row r="5" spans="1:15" x14ac:dyDescent="0.3">
      <c r="A5" s="120"/>
      <c r="B5" s="3"/>
      <c r="C5" s="3"/>
      <c r="D5" s="3"/>
      <c r="E5" s="3"/>
      <c r="F5" s="3"/>
      <c r="G5" s="3"/>
      <c r="H5" s="3"/>
      <c r="I5" s="3"/>
      <c r="J5" s="3"/>
      <c r="K5" s="3"/>
      <c r="L5" s="3"/>
    </row>
    <row r="6" spans="1:15" x14ac:dyDescent="0.3">
      <c r="A6" s="319" t="s">
        <v>339</v>
      </c>
      <c r="B6" s="3"/>
      <c r="C6" s="3"/>
      <c r="D6" s="3"/>
      <c r="E6" s="3"/>
      <c r="F6" s="3"/>
      <c r="G6" s="3"/>
      <c r="H6" s="3"/>
      <c r="I6" s="3"/>
      <c r="J6" s="3"/>
      <c r="K6" s="3"/>
      <c r="L6" s="3"/>
    </row>
    <row r="7" spans="1:15" x14ac:dyDescent="0.3">
      <c r="A7" s="121" t="s">
        <v>219</v>
      </c>
      <c r="B7" s="3"/>
      <c r="C7" s="3"/>
      <c r="D7" s="3"/>
      <c r="E7" s="3"/>
      <c r="F7" s="3"/>
      <c r="G7" s="3"/>
      <c r="H7" s="3"/>
      <c r="I7" s="3"/>
      <c r="J7" s="3"/>
      <c r="K7" s="3"/>
      <c r="L7" s="3"/>
    </row>
    <row r="8" spans="1:15" ht="5.4" customHeight="1" x14ac:dyDescent="0.3">
      <c r="A8" s="3"/>
      <c r="B8" s="3"/>
      <c r="C8" s="3"/>
      <c r="D8" s="3"/>
      <c r="E8" s="3"/>
      <c r="F8" s="3"/>
      <c r="G8" s="3"/>
      <c r="H8" s="3"/>
      <c r="I8" s="3"/>
      <c r="J8" s="3"/>
      <c r="K8" s="3"/>
      <c r="L8" s="3"/>
    </row>
    <row r="9" spans="1:15" ht="13.8" customHeight="1" x14ac:dyDescent="0.3">
      <c r="A9" s="139" t="s">
        <v>152</v>
      </c>
      <c r="B9" s="3"/>
      <c r="C9" s="3"/>
      <c r="D9" s="3"/>
      <c r="E9" s="3"/>
      <c r="F9" s="3"/>
      <c r="G9" s="3"/>
      <c r="H9" s="3"/>
      <c r="I9" s="3"/>
      <c r="J9" s="3"/>
      <c r="K9" s="3"/>
      <c r="L9" s="3"/>
    </row>
    <row r="10" spans="1:15" ht="19.8" customHeight="1" x14ac:dyDescent="0.3">
      <c r="A10" s="120" t="s">
        <v>153</v>
      </c>
      <c r="B10" s="3"/>
      <c r="C10" s="3"/>
      <c r="D10" s="3"/>
      <c r="E10" s="3"/>
      <c r="F10" s="3"/>
      <c r="G10" s="3"/>
      <c r="H10" s="3"/>
      <c r="I10" s="3"/>
      <c r="J10" s="3"/>
      <c r="K10" s="3"/>
      <c r="L10" s="3"/>
    </row>
    <row r="11" spans="1:15" x14ac:dyDescent="0.3">
      <c r="A11" s="139" t="s">
        <v>248</v>
      </c>
      <c r="B11" s="3"/>
      <c r="C11" s="3"/>
      <c r="D11" s="3"/>
      <c r="E11" s="3"/>
      <c r="F11" s="3"/>
      <c r="G11" s="3"/>
      <c r="H11" s="3"/>
      <c r="I11" s="3"/>
      <c r="J11" s="3"/>
      <c r="K11" s="3"/>
      <c r="L11" s="3"/>
    </row>
    <row r="12" spans="1:15" ht="17.55" customHeight="1" x14ac:dyDescent="0.3">
      <c r="A12" s="120" t="s">
        <v>247</v>
      </c>
      <c r="B12" s="3"/>
      <c r="C12" s="3"/>
      <c r="D12" s="3"/>
      <c r="E12" s="3"/>
      <c r="F12" s="3"/>
      <c r="G12" s="3"/>
      <c r="H12" s="3"/>
      <c r="I12" s="3"/>
      <c r="J12" s="3"/>
      <c r="K12" s="3"/>
      <c r="L12" s="3"/>
      <c r="O12" s="139"/>
    </row>
    <row r="13" spans="1:15" ht="6" customHeight="1" x14ac:dyDescent="0.3">
      <c r="A13" s="3"/>
      <c r="B13" s="3"/>
      <c r="C13" s="3"/>
      <c r="D13" s="3"/>
      <c r="E13" s="3"/>
      <c r="F13" s="3"/>
      <c r="G13" s="3"/>
      <c r="H13" s="3"/>
      <c r="I13" s="3"/>
      <c r="J13" s="3"/>
      <c r="K13" s="3"/>
      <c r="L13" s="3"/>
      <c r="O13" s="120"/>
    </row>
    <row r="14" spans="1:15" x14ac:dyDescent="0.3">
      <c r="A14" s="140" t="s">
        <v>333</v>
      </c>
      <c r="B14" s="3"/>
      <c r="C14" s="3"/>
      <c r="D14" s="3"/>
      <c r="E14" s="3"/>
      <c r="F14" s="3"/>
      <c r="G14" s="3"/>
      <c r="H14" s="3"/>
      <c r="I14" s="3"/>
      <c r="J14" s="3"/>
      <c r="K14" s="3"/>
      <c r="L14" s="3"/>
    </row>
    <row r="15" spans="1:15" ht="15.45" customHeight="1" x14ac:dyDescent="0.3">
      <c r="A15" s="120" t="s">
        <v>340</v>
      </c>
      <c r="B15" s="3"/>
      <c r="C15" s="3"/>
      <c r="D15" s="3"/>
      <c r="E15" s="3"/>
      <c r="F15" s="3"/>
      <c r="G15" s="3"/>
      <c r="H15" s="3"/>
      <c r="I15" s="3"/>
      <c r="J15" s="3"/>
      <c r="K15" s="3"/>
      <c r="L15" s="3"/>
    </row>
    <row r="16" spans="1:15" x14ac:dyDescent="0.3">
      <c r="A16" s="120" t="s">
        <v>154</v>
      </c>
      <c r="B16" s="3"/>
      <c r="C16" s="3"/>
      <c r="D16" s="3"/>
      <c r="E16" s="3"/>
      <c r="F16" s="3"/>
      <c r="G16" s="3"/>
      <c r="H16" s="3"/>
      <c r="I16" s="3"/>
      <c r="J16" s="3"/>
      <c r="K16" s="3"/>
      <c r="L16" s="3"/>
    </row>
    <row r="17" spans="1:12" ht="3.6" customHeight="1" x14ac:dyDescent="0.3">
      <c r="A17" s="3"/>
      <c r="B17" s="3"/>
      <c r="C17" s="3"/>
      <c r="D17" s="3"/>
      <c r="E17" s="3"/>
      <c r="F17" s="3"/>
      <c r="G17" s="3"/>
      <c r="H17" s="3"/>
      <c r="I17" s="3"/>
      <c r="J17" s="3"/>
      <c r="K17" s="3"/>
      <c r="L17" s="3"/>
    </row>
    <row r="18" spans="1:12" hidden="1" x14ac:dyDescent="0.3">
      <c r="A18" s="140" t="s">
        <v>155</v>
      </c>
      <c r="B18" s="3"/>
      <c r="C18" s="3"/>
      <c r="D18" s="3"/>
      <c r="E18" s="3"/>
      <c r="F18" s="3"/>
      <c r="G18" s="3"/>
      <c r="H18" s="3"/>
      <c r="I18" s="3"/>
      <c r="J18" s="3"/>
      <c r="K18" s="3"/>
      <c r="L18" s="3"/>
    </row>
    <row r="19" spans="1:12" ht="17.55" hidden="1" customHeight="1" x14ac:dyDescent="0.3">
      <c r="A19" s="120" t="s">
        <v>156</v>
      </c>
      <c r="B19" s="3"/>
      <c r="C19" s="3"/>
      <c r="D19" s="3"/>
      <c r="E19" s="3"/>
      <c r="F19" s="3"/>
      <c r="G19" s="3"/>
      <c r="H19" s="3"/>
      <c r="I19" s="3"/>
      <c r="J19" s="3"/>
      <c r="K19" s="3"/>
      <c r="L19" s="3"/>
    </row>
    <row r="20" spans="1:12" ht="2.4" customHeight="1" x14ac:dyDescent="0.3">
      <c r="A20" s="3"/>
      <c r="B20" s="3"/>
      <c r="C20" s="3"/>
      <c r="D20" s="3"/>
      <c r="E20" s="3"/>
      <c r="F20" s="3"/>
      <c r="G20" s="3"/>
      <c r="H20" s="3"/>
      <c r="I20" s="3"/>
      <c r="J20" s="3"/>
      <c r="K20" s="3"/>
      <c r="L20" s="3"/>
    </row>
    <row r="21" spans="1:12" x14ac:dyDescent="0.3">
      <c r="A21" s="140" t="s">
        <v>78</v>
      </c>
      <c r="B21" s="3"/>
      <c r="C21" s="3"/>
      <c r="D21" s="3"/>
      <c r="E21" s="3"/>
      <c r="F21" s="3"/>
      <c r="G21" s="3"/>
      <c r="H21" s="3"/>
      <c r="I21" s="3"/>
      <c r="J21" s="3"/>
      <c r="K21" s="3"/>
      <c r="L21" s="3"/>
    </row>
    <row r="22" spans="1:12" ht="18" customHeight="1" x14ac:dyDescent="0.3">
      <c r="A22" s="120" t="s">
        <v>341</v>
      </c>
      <c r="B22" s="3"/>
      <c r="C22" s="3"/>
      <c r="D22" s="3"/>
      <c r="E22" s="3"/>
      <c r="F22" s="3"/>
      <c r="G22" s="3"/>
      <c r="H22" s="3"/>
      <c r="I22" s="3"/>
      <c r="J22" s="3"/>
      <c r="K22" s="3"/>
      <c r="L22" s="3"/>
    </row>
    <row r="23" spans="1:12" x14ac:dyDescent="0.3">
      <c r="A23" s="3"/>
      <c r="B23" s="3"/>
      <c r="C23" s="3"/>
      <c r="D23" s="3"/>
      <c r="E23" s="3"/>
      <c r="F23" s="3"/>
      <c r="G23" s="3"/>
      <c r="H23" s="3"/>
      <c r="I23" s="3"/>
      <c r="J23" s="3"/>
      <c r="K23" s="3"/>
      <c r="L23" s="3"/>
    </row>
    <row r="24" spans="1:12" x14ac:dyDescent="0.3">
      <c r="A24" s="140" t="s">
        <v>212</v>
      </c>
      <c r="B24" s="3"/>
      <c r="C24" s="3"/>
      <c r="D24" s="3"/>
      <c r="E24" s="3"/>
      <c r="F24" s="3"/>
      <c r="G24" s="3"/>
      <c r="H24" s="3"/>
      <c r="I24" s="3"/>
      <c r="J24" s="3"/>
      <c r="K24" s="3"/>
      <c r="L24" s="3"/>
    </row>
    <row r="25" spans="1:12" ht="16.8" customHeight="1" x14ac:dyDescent="0.3">
      <c r="A25" s="120" t="s">
        <v>211</v>
      </c>
      <c r="B25" s="3"/>
      <c r="C25" s="3"/>
      <c r="D25" s="3"/>
      <c r="E25" s="3"/>
      <c r="F25" s="3"/>
      <c r="G25" s="3"/>
      <c r="H25" s="3"/>
      <c r="I25" s="3"/>
      <c r="J25" s="3"/>
      <c r="K25" s="3"/>
      <c r="L25" s="3"/>
    </row>
    <row r="26" spans="1:12" x14ac:dyDescent="0.3">
      <c r="A26" s="120" t="s">
        <v>210</v>
      </c>
      <c r="B26" s="3"/>
      <c r="C26" s="3"/>
      <c r="D26" s="3"/>
      <c r="E26" s="3"/>
      <c r="F26" s="3"/>
      <c r="G26" s="3"/>
      <c r="H26" s="3"/>
      <c r="I26" s="3"/>
      <c r="J26" s="3"/>
      <c r="K26" s="3"/>
      <c r="L26" s="3"/>
    </row>
    <row r="27" spans="1:12" ht="7.2" customHeight="1" x14ac:dyDescent="0.3">
      <c r="A27" s="3"/>
      <c r="B27" s="3"/>
      <c r="C27" s="3"/>
      <c r="D27" s="3"/>
      <c r="E27" s="3"/>
      <c r="F27" s="3"/>
      <c r="G27" s="3"/>
      <c r="H27" s="3"/>
      <c r="I27" s="3"/>
      <c r="J27" s="3"/>
      <c r="K27" s="3"/>
      <c r="L27" s="3"/>
    </row>
    <row r="28" spans="1:12" x14ac:dyDescent="0.3">
      <c r="A28" s="296" t="s">
        <v>346</v>
      </c>
      <c r="B28" s="3"/>
      <c r="C28" s="3"/>
      <c r="D28" s="3"/>
      <c r="E28" s="3"/>
      <c r="F28" s="3"/>
      <c r="G28" s="3"/>
      <c r="H28" s="3"/>
      <c r="I28" s="3"/>
      <c r="J28" s="3"/>
      <c r="K28" s="3"/>
      <c r="L28" s="3"/>
    </row>
    <row r="29" spans="1:12" x14ac:dyDescent="0.3">
      <c r="A29" s="3"/>
      <c r="B29" s="3"/>
      <c r="C29" s="3"/>
      <c r="D29" s="3"/>
      <c r="E29" s="3"/>
      <c r="F29" s="3"/>
      <c r="G29" s="3"/>
      <c r="H29" s="3"/>
      <c r="I29" s="3"/>
      <c r="J29" s="3"/>
      <c r="K29" s="3"/>
      <c r="L29" s="3"/>
    </row>
    <row r="30" spans="1:12" x14ac:dyDescent="0.3">
      <c r="A30" s="3"/>
      <c r="B30" s="3"/>
      <c r="C30" s="3"/>
      <c r="D30" s="3"/>
      <c r="E30" s="3"/>
      <c r="F30" s="3"/>
      <c r="G30" s="3"/>
      <c r="H30" s="3"/>
      <c r="I30" s="3"/>
      <c r="J30" s="3"/>
      <c r="K30" s="3"/>
      <c r="L30" s="3"/>
    </row>
    <row r="31" spans="1:12" x14ac:dyDescent="0.3">
      <c r="A31" s="3"/>
      <c r="B31" s="3"/>
      <c r="C31" s="3"/>
      <c r="D31" s="3"/>
      <c r="E31" s="3"/>
      <c r="F31" s="3"/>
      <c r="G31" s="3"/>
      <c r="H31" s="3"/>
      <c r="I31" s="3"/>
      <c r="J31" s="3"/>
      <c r="K31" s="3"/>
      <c r="L31" s="3"/>
    </row>
    <row r="32" spans="1:12" x14ac:dyDescent="0.3">
      <c r="A32" s="3"/>
      <c r="B32" s="3"/>
      <c r="C32" s="3"/>
      <c r="D32" s="3"/>
      <c r="E32" s="3"/>
      <c r="F32" s="3"/>
      <c r="G32" s="3"/>
      <c r="H32" s="3"/>
      <c r="I32" s="3"/>
      <c r="J32" s="3"/>
      <c r="K32" s="3"/>
      <c r="L32" s="3"/>
    </row>
    <row r="33" spans="1:12" x14ac:dyDescent="0.3">
      <c r="A33" s="3"/>
      <c r="B33" s="3"/>
      <c r="C33" s="3"/>
      <c r="D33" s="3"/>
      <c r="E33" s="3"/>
      <c r="F33" s="3"/>
      <c r="G33" s="3"/>
      <c r="H33" s="3"/>
      <c r="I33" s="3"/>
      <c r="J33" s="3"/>
      <c r="K33" s="3"/>
      <c r="L33" s="3"/>
    </row>
    <row r="34" spans="1:12" x14ac:dyDescent="0.3">
      <c r="A34" s="3"/>
      <c r="B34" s="3"/>
      <c r="C34" s="3"/>
      <c r="D34" s="3"/>
      <c r="E34" s="3"/>
      <c r="F34" s="3"/>
      <c r="G34" s="3"/>
      <c r="H34" s="3"/>
      <c r="I34" s="3"/>
      <c r="J34" s="3"/>
      <c r="K34" s="3"/>
      <c r="L34" s="3"/>
    </row>
    <row r="35" spans="1:12" x14ac:dyDescent="0.3">
      <c r="A35" s="3"/>
      <c r="B35" s="3"/>
      <c r="C35" s="3"/>
      <c r="D35" s="3"/>
      <c r="E35" s="3"/>
      <c r="F35" s="3"/>
      <c r="G35" s="3"/>
      <c r="H35" s="3"/>
      <c r="I35" s="3"/>
      <c r="J35" s="3"/>
      <c r="K35" s="3"/>
      <c r="L35" s="3"/>
    </row>
    <row r="36" spans="1:12" x14ac:dyDescent="0.3">
      <c r="A36" s="3"/>
      <c r="B36" s="3"/>
      <c r="C36" s="3"/>
      <c r="D36" s="3"/>
      <c r="E36" s="3"/>
      <c r="F36" s="3"/>
      <c r="G36" s="3"/>
      <c r="H36" s="3"/>
      <c r="I36" s="3"/>
      <c r="J36" s="3"/>
      <c r="K36" s="3"/>
      <c r="L36" s="3"/>
    </row>
    <row r="37" spans="1:12" x14ac:dyDescent="0.3">
      <c r="A37" s="3"/>
      <c r="B37" s="3"/>
      <c r="C37" s="3"/>
      <c r="D37" s="3"/>
      <c r="E37" s="3"/>
      <c r="F37" s="3"/>
      <c r="G37" s="3"/>
      <c r="H37" s="3"/>
      <c r="I37" s="3"/>
      <c r="J37" s="3"/>
      <c r="K37" s="3"/>
      <c r="L37" s="3"/>
    </row>
    <row r="38" spans="1:12" x14ac:dyDescent="0.3">
      <c r="A38" s="3"/>
      <c r="B38" s="3"/>
      <c r="C38" s="3"/>
      <c r="D38" s="3"/>
      <c r="E38" s="3"/>
      <c r="F38" s="3"/>
      <c r="G38" s="3"/>
      <c r="H38" s="3"/>
      <c r="I38" s="3"/>
      <c r="J38" s="3"/>
      <c r="K38" s="3"/>
      <c r="L38" s="3"/>
    </row>
    <row r="39" spans="1:12" x14ac:dyDescent="0.3">
      <c r="A39" s="3"/>
      <c r="B39" s="3"/>
      <c r="C39" s="3"/>
      <c r="D39" s="3"/>
      <c r="E39" s="3"/>
      <c r="F39" s="3"/>
      <c r="G39" s="3"/>
      <c r="H39" s="3"/>
      <c r="I39" s="3"/>
      <c r="J39" s="3"/>
      <c r="K39" s="3"/>
      <c r="L39" s="3"/>
    </row>
    <row r="40" spans="1:12" x14ac:dyDescent="0.3">
      <c r="A40" s="3"/>
      <c r="B40" s="3"/>
      <c r="C40" s="3"/>
      <c r="D40" s="3"/>
      <c r="E40" s="3"/>
      <c r="F40" s="3"/>
      <c r="G40" s="3"/>
      <c r="H40" s="3"/>
      <c r="I40" s="3"/>
      <c r="J40" s="3"/>
      <c r="K40" s="3"/>
      <c r="L40" s="3"/>
    </row>
    <row r="41" spans="1:12" x14ac:dyDescent="0.3">
      <c r="A41" s="3"/>
      <c r="B41" s="3"/>
      <c r="C41" s="3"/>
      <c r="D41" s="3"/>
      <c r="E41" s="3"/>
      <c r="F41" s="3"/>
      <c r="G41" s="3"/>
      <c r="H41" s="3"/>
      <c r="I41" s="3"/>
      <c r="J41" s="3"/>
      <c r="K41" s="3"/>
      <c r="L41" s="3"/>
    </row>
    <row r="42" spans="1:12" x14ac:dyDescent="0.3">
      <c r="A42" s="3"/>
      <c r="B42" s="3"/>
      <c r="C42" s="3"/>
      <c r="D42" s="3"/>
      <c r="E42" s="3"/>
      <c r="F42" s="3"/>
      <c r="G42" s="3"/>
      <c r="H42" s="3"/>
      <c r="I42" s="3"/>
      <c r="J42" s="3"/>
      <c r="K42" s="3"/>
      <c r="L42" s="3"/>
    </row>
    <row r="43" spans="1:12" x14ac:dyDescent="0.3">
      <c r="A43" s="3"/>
      <c r="B43" s="3"/>
      <c r="C43" s="3"/>
      <c r="D43" s="3"/>
      <c r="E43" s="3"/>
      <c r="F43" s="3"/>
      <c r="G43" s="3"/>
      <c r="H43" s="3"/>
      <c r="I43" s="3"/>
      <c r="J43" s="3"/>
      <c r="K43" s="3"/>
      <c r="L43" s="3"/>
    </row>
    <row r="44" spans="1:12" x14ac:dyDescent="0.3">
      <c r="A44" s="3"/>
      <c r="B44" s="3"/>
      <c r="C44" s="3"/>
      <c r="D44" s="3"/>
      <c r="E44" s="3"/>
      <c r="F44" s="3"/>
      <c r="G44" s="3"/>
      <c r="H44" s="3"/>
      <c r="I44" s="3"/>
      <c r="J44" s="3"/>
      <c r="K44" s="3"/>
      <c r="L44" s="3"/>
    </row>
    <row r="45" spans="1:12" x14ac:dyDescent="0.3">
      <c r="A45" s="3"/>
      <c r="B45" s="3"/>
      <c r="C45" s="3"/>
      <c r="D45" s="3"/>
      <c r="E45" s="3"/>
      <c r="F45" s="3"/>
      <c r="G45" s="3"/>
      <c r="H45" s="3"/>
      <c r="I45" s="3"/>
      <c r="J45" s="3"/>
      <c r="K45" s="3"/>
      <c r="L45" s="3"/>
    </row>
    <row r="46" spans="1:12" x14ac:dyDescent="0.3">
      <c r="A46" s="3"/>
      <c r="B46" s="3"/>
      <c r="C46" s="3"/>
      <c r="D46" s="3"/>
      <c r="E46" s="3"/>
      <c r="F46" s="3"/>
      <c r="G46" s="3"/>
      <c r="H46" s="3"/>
      <c r="I46" s="3"/>
      <c r="J46" s="3"/>
      <c r="K46" s="3"/>
      <c r="L46" s="3"/>
    </row>
    <row r="47" spans="1:12" x14ac:dyDescent="0.3">
      <c r="A47" s="3"/>
      <c r="B47" s="3"/>
      <c r="C47" s="3"/>
      <c r="D47" s="3"/>
      <c r="E47" s="3"/>
      <c r="F47" s="3"/>
      <c r="G47" s="3"/>
      <c r="H47" s="3"/>
      <c r="I47" s="3"/>
      <c r="J47" s="3"/>
      <c r="K47" s="3"/>
      <c r="L47" s="3"/>
    </row>
    <row r="48" spans="1:12" x14ac:dyDescent="0.3">
      <c r="A48" s="3"/>
      <c r="B48" s="3"/>
      <c r="C48" s="3"/>
      <c r="D48" s="3"/>
      <c r="E48" s="3"/>
      <c r="F48" s="3"/>
      <c r="G48" s="3"/>
      <c r="H48" s="3"/>
      <c r="I48" s="3"/>
      <c r="J48" s="3"/>
      <c r="K48" s="3"/>
      <c r="L48" s="3"/>
    </row>
    <row r="49" spans="1:12" x14ac:dyDescent="0.3">
      <c r="A49" s="3"/>
      <c r="B49" s="3"/>
      <c r="C49" s="3"/>
      <c r="D49" s="3"/>
      <c r="E49" s="3"/>
      <c r="F49" s="3"/>
      <c r="G49" s="3"/>
      <c r="H49" s="3"/>
      <c r="I49" s="3"/>
      <c r="J49" s="3"/>
      <c r="K49" s="3"/>
      <c r="L49" s="3"/>
    </row>
    <row r="50" spans="1:12" x14ac:dyDescent="0.3">
      <c r="A50" s="3"/>
      <c r="B50" s="3"/>
      <c r="C50" s="3"/>
      <c r="D50" s="3"/>
      <c r="E50" s="3"/>
      <c r="F50" s="3"/>
      <c r="G50" s="3"/>
      <c r="H50" s="3"/>
      <c r="I50" s="3"/>
      <c r="J50" s="3"/>
      <c r="K50" s="3"/>
      <c r="L50" s="3"/>
    </row>
    <row r="51" spans="1:12" x14ac:dyDescent="0.3">
      <c r="A51" s="3"/>
      <c r="B51" s="3"/>
      <c r="C51" s="3"/>
      <c r="D51" s="3"/>
      <c r="E51" s="3"/>
      <c r="F51" s="3"/>
      <c r="G51" s="3"/>
      <c r="H51" s="3"/>
      <c r="I51" s="3"/>
      <c r="J51" s="3"/>
      <c r="K51" s="3"/>
      <c r="L51" s="3"/>
    </row>
    <row r="52" spans="1:12" x14ac:dyDescent="0.3">
      <c r="A52" s="3"/>
      <c r="B52" s="3"/>
      <c r="C52" s="3"/>
      <c r="D52" s="3"/>
      <c r="E52" s="3"/>
      <c r="F52" s="3"/>
      <c r="G52" s="3"/>
      <c r="H52" s="3"/>
      <c r="I52" s="3"/>
      <c r="J52" s="3"/>
      <c r="K52" s="3"/>
      <c r="L52" s="3"/>
    </row>
    <row r="53" spans="1:12" x14ac:dyDescent="0.3">
      <c r="A53" s="3"/>
      <c r="B53" s="3"/>
      <c r="C53" s="3"/>
      <c r="D53" s="3"/>
      <c r="E53" s="3"/>
      <c r="F53" s="3"/>
      <c r="G53" s="3"/>
      <c r="H53" s="3"/>
      <c r="I53" s="3"/>
      <c r="J53" s="3"/>
      <c r="K53" s="3"/>
      <c r="L53" s="3"/>
    </row>
    <row r="54" spans="1:12" x14ac:dyDescent="0.3">
      <c r="A54" s="3"/>
      <c r="B54" s="3"/>
      <c r="C54" s="3"/>
      <c r="D54" s="3"/>
      <c r="E54" s="3"/>
      <c r="F54" s="3"/>
      <c r="G54" s="3"/>
      <c r="H54" s="3"/>
      <c r="I54" s="3"/>
      <c r="J54" s="3"/>
      <c r="K54" s="3"/>
      <c r="L54" s="3"/>
    </row>
    <row r="55" spans="1:12" x14ac:dyDescent="0.3">
      <c r="A55" s="3"/>
      <c r="B55" s="3"/>
      <c r="C55" s="3"/>
      <c r="D55" s="3"/>
      <c r="E55" s="3"/>
      <c r="F55" s="3"/>
      <c r="G55" s="3"/>
      <c r="H55" s="3"/>
      <c r="I55" s="3"/>
      <c r="J55" s="3"/>
      <c r="K55" s="3"/>
      <c r="L55" s="3"/>
    </row>
    <row r="56" spans="1:12" x14ac:dyDescent="0.3">
      <c r="A56" s="3"/>
      <c r="B56" s="3"/>
      <c r="C56" s="3"/>
      <c r="D56" s="3"/>
      <c r="E56" s="3"/>
      <c r="F56" s="3"/>
      <c r="G56" s="3"/>
      <c r="H56" s="3"/>
      <c r="I56" s="3"/>
      <c r="J56" s="3"/>
      <c r="K56" s="3"/>
      <c r="L56" s="3"/>
    </row>
    <row r="57" spans="1:12" x14ac:dyDescent="0.3">
      <c r="A57" s="3"/>
      <c r="B57" s="3"/>
      <c r="C57" s="3"/>
      <c r="D57" s="3"/>
      <c r="E57" s="3"/>
      <c r="F57" s="3"/>
      <c r="G57" s="3"/>
      <c r="H57" s="3"/>
      <c r="I57" s="3"/>
      <c r="J57" s="3"/>
      <c r="K57" s="3"/>
      <c r="L57" s="3"/>
    </row>
  </sheetData>
  <sheetProtection algorithmName="SHA-512" hashValue="8OrxcS7gdFiowpUYaOcqzR0P7TJdbG46vvrkKa/V4+UyCu+iKOsZepvy16hajTblMZIQiGvQoOAV/eN6qkAsFA==" saltValue="QTkQWJ9ih5OswuPUZM3dXA==" spinCount="100000" sheet="1" selectLockedCells="1" selectUnlockedCells="1"/>
  <pageMargins left="0.7" right="0.7" top="0.75" bottom="0.75" header="0.3" footer="0.3"/>
  <pageSetup scale="6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249977111117893"/>
    <pageSetUpPr fitToPage="1"/>
  </sheetPr>
  <dimension ref="A1:V60"/>
  <sheetViews>
    <sheetView zoomScaleNormal="100" workbookViewId="0">
      <selection activeCell="B8" sqref="B8:K8"/>
    </sheetView>
  </sheetViews>
  <sheetFormatPr defaultColWidth="8.77734375" defaultRowHeight="14.4" x14ac:dyDescent="0.3"/>
  <cols>
    <col min="1" max="1" width="21.109375" customWidth="1"/>
    <col min="3" max="3" width="6.33203125" customWidth="1"/>
    <col min="4" max="4" width="7.109375" customWidth="1"/>
    <col min="5" max="5" width="11" customWidth="1"/>
    <col min="6" max="6" width="8.77734375" customWidth="1"/>
    <col min="7" max="7" width="5.44140625" customWidth="1"/>
    <col min="9" max="9" width="12.109375" customWidth="1"/>
    <col min="10" max="10" width="3.109375" customWidth="1"/>
    <col min="11" max="11" width="12" customWidth="1"/>
    <col min="12" max="14" width="8.77734375" hidden="1" customWidth="1"/>
    <col min="15" max="16" width="8.77734375" style="9" hidden="1" customWidth="1"/>
    <col min="17" max="17" width="12" style="9" hidden="1" customWidth="1"/>
    <col min="18" max="18" width="8.77734375" hidden="1" customWidth="1"/>
    <col min="19" max="21" width="0" hidden="1" customWidth="1"/>
    <col min="22" max="22" width="8.77734375" hidden="1" customWidth="1"/>
  </cols>
  <sheetData>
    <row r="1" spans="1:18" ht="25.8" customHeight="1" x14ac:dyDescent="0.3">
      <c r="A1" s="381" t="s">
        <v>238</v>
      </c>
      <c r="B1" s="382"/>
      <c r="C1" s="382"/>
      <c r="D1" s="382"/>
      <c r="E1" s="382"/>
      <c r="F1" s="382"/>
      <c r="G1" s="382"/>
      <c r="H1" s="382"/>
      <c r="I1" s="382"/>
      <c r="J1" s="382"/>
      <c r="K1" s="383"/>
    </row>
    <row r="2" spans="1:18" ht="15" x14ac:dyDescent="0.3">
      <c r="A2" s="384" t="s">
        <v>235</v>
      </c>
      <c r="B2" s="385"/>
      <c r="C2" s="385"/>
      <c r="D2" s="385"/>
      <c r="E2" s="385"/>
      <c r="F2" s="385"/>
      <c r="G2" s="385"/>
      <c r="H2" s="385"/>
      <c r="I2" s="385"/>
      <c r="J2" s="385"/>
      <c r="K2" s="386"/>
    </row>
    <row r="3" spans="1:18" ht="15" x14ac:dyDescent="0.3">
      <c r="A3" s="384" t="s">
        <v>236</v>
      </c>
      <c r="B3" s="385"/>
      <c r="C3" s="385"/>
      <c r="D3" s="385"/>
      <c r="E3" s="385"/>
      <c r="F3" s="385"/>
      <c r="G3" s="385"/>
      <c r="H3" s="385"/>
      <c r="I3" s="385"/>
      <c r="J3" s="385"/>
      <c r="K3" s="386"/>
    </row>
    <row r="4" spans="1:18" x14ac:dyDescent="0.3">
      <c r="A4" s="384" t="s">
        <v>237</v>
      </c>
      <c r="B4" s="385"/>
      <c r="C4" s="385"/>
      <c r="D4" s="385"/>
      <c r="E4" s="385"/>
      <c r="F4" s="385"/>
      <c r="G4" s="385"/>
      <c r="H4" s="385"/>
      <c r="I4" s="385"/>
      <c r="J4" s="385"/>
      <c r="K4" s="387"/>
    </row>
    <row r="5" spans="1:18" ht="5.4" customHeight="1" x14ac:dyDescent="0.3">
      <c r="A5" s="388"/>
      <c r="B5" s="382"/>
      <c r="C5" s="382"/>
      <c r="D5" s="382"/>
      <c r="E5" s="382"/>
      <c r="F5" s="382"/>
      <c r="G5" s="382"/>
      <c r="H5" s="382"/>
      <c r="I5" s="382"/>
      <c r="J5" s="382"/>
      <c r="K5" s="383"/>
    </row>
    <row r="6" spans="1:18" ht="16.8" customHeight="1" x14ac:dyDescent="0.3">
      <c r="A6" s="4" t="s">
        <v>18</v>
      </c>
      <c r="B6" s="5"/>
      <c r="C6" s="5"/>
      <c r="D6" s="4" t="s">
        <v>9</v>
      </c>
      <c r="E6" s="5"/>
      <c r="F6" s="5"/>
      <c r="G6" s="5"/>
      <c r="H6" s="4" t="s">
        <v>10</v>
      </c>
      <c r="I6" s="5"/>
      <c r="J6" s="5"/>
      <c r="K6" s="5"/>
    </row>
    <row r="7" spans="1:18" ht="22.2" customHeight="1" x14ac:dyDescent="0.3">
      <c r="A7" s="389" t="s">
        <v>11</v>
      </c>
      <c r="B7" s="390"/>
      <c r="C7" s="390"/>
      <c r="D7" s="390"/>
      <c r="E7" s="390"/>
      <c r="F7" s="390"/>
      <c r="G7" s="390"/>
      <c r="H7" s="390"/>
      <c r="I7" s="390"/>
      <c r="J7" s="390"/>
      <c r="K7" s="391"/>
    </row>
    <row r="8" spans="1:18" ht="24" customHeight="1" x14ac:dyDescent="0.3">
      <c r="A8" s="3" t="s">
        <v>12</v>
      </c>
      <c r="B8" s="402"/>
      <c r="C8" s="403"/>
      <c r="D8" s="403"/>
      <c r="E8" s="403"/>
      <c r="F8" s="403"/>
      <c r="G8" s="403"/>
      <c r="H8" s="403"/>
      <c r="I8" s="403"/>
      <c r="J8" s="403"/>
      <c r="K8" s="403"/>
    </row>
    <row r="9" spans="1:18" ht="24" customHeight="1" x14ac:dyDescent="0.3">
      <c r="A9" s="3" t="s">
        <v>13</v>
      </c>
      <c r="B9" s="406"/>
      <c r="C9" s="406"/>
      <c r="D9" s="406"/>
      <c r="E9" s="406"/>
      <c r="F9" s="409" t="s">
        <v>16</v>
      </c>
      <c r="G9" s="410"/>
      <c r="H9" s="404"/>
      <c r="I9" s="404"/>
      <c r="J9" s="404"/>
      <c r="K9" s="404"/>
    </row>
    <row r="10" spans="1:18" ht="24" customHeight="1" x14ac:dyDescent="0.3">
      <c r="A10" s="3" t="s">
        <v>342</v>
      </c>
      <c r="B10" s="3"/>
      <c r="C10" s="405"/>
      <c r="D10" s="405"/>
      <c r="E10" s="405"/>
      <c r="F10" s="405"/>
      <c r="G10" s="405"/>
      <c r="H10" s="405"/>
      <c r="I10" s="405"/>
      <c r="J10" s="405"/>
      <c r="K10" s="405"/>
    </row>
    <row r="11" spans="1:18" ht="24" customHeight="1" x14ac:dyDescent="0.3">
      <c r="A11" s="407" t="s">
        <v>14</v>
      </c>
      <c r="B11" s="408"/>
      <c r="C11" s="408"/>
      <c r="D11" s="408"/>
      <c r="E11" s="408"/>
      <c r="F11" s="408"/>
      <c r="G11" s="408"/>
      <c r="H11" s="408"/>
      <c r="I11" s="408"/>
      <c r="J11" s="408"/>
      <c r="K11" s="408"/>
    </row>
    <row r="12" spans="1:18" x14ac:dyDescent="0.3">
      <c r="A12" s="408"/>
      <c r="B12" s="408"/>
      <c r="C12" s="408"/>
      <c r="D12" s="408"/>
      <c r="E12" s="408"/>
      <c r="F12" s="408"/>
      <c r="G12" s="408"/>
      <c r="H12" s="408"/>
      <c r="I12" s="408"/>
      <c r="J12" s="408"/>
      <c r="K12" s="408"/>
    </row>
    <row r="13" spans="1:18" x14ac:dyDescent="0.3">
      <c r="A13" s="3"/>
      <c r="B13" s="3"/>
      <c r="C13" s="3"/>
      <c r="D13" s="3"/>
      <c r="E13" s="3"/>
      <c r="F13" s="3"/>
      <c r="G13" s="3"/>
      <c r="H13" s="3"/>
      <c r="I13" s="3"/>
      <c r="J13" s="3"/>
      <c r="K13" s="3"/>
    </row>
    <row r="14" spans="1:18" ht="15.6" x14ac:dyDescent="0.3">
      <c r="A14" s="6" t="s">
        <v>15</v>
      </c>
      <c r="B14" s="3"/>
      <c r="C14" s="3"/>
      <c r="D14" s="3"/>
      <c r="E14" s="3"/>
      <c r="F14" s="3"/>
      <c r="G14" s="3"/>
      <c r="H14" s="3"/>
      <c r="I14" s="3"/>
      <c r="J14" s="3"/>
      <c r="K14" s="3"/>
    </row>
    <row r="15" spans="1:18" ht="9.4499999999999993" customHeight="1" x14ac:dyDescent="0.3">
      <c r="A15" s="3"/>
      <c r="B15" s="3"/>
      <c r="C15" s="3"/>
      <c r="D15" s="3"/>
      <c r="E15" s="3"/>
      <c r="F15" s="3"/>
      <c r="G15" s="3"/>
      <c r="H15" s="3"/>
      <c r="I15" s="3"/>
      <c r="J15" s="3"/>
      <c r="K15" s="3"/>
    </row>
    <row r="16" spans="1:18" ht="19.8" customHeight="1" x14ac:dyDescent="0.3">
      <c r="A16" s="423" t="s">
        <v>0</v>
      </c>
      <c r="B16" s="424"/>
      <c r="C16" s="425"/>
      <c r="D16" s="177"/>
      <c r="E16" s="411" t="s">
        <v>1</v>
      </c>
      <c r="F16" s="412"/>
      <c r="G16" s="412"/>
      <c r="H16" s="413"/>
      <c r="I16" s="122"/>
      <c r="J16" s="321" t="s">
        <v>17</v>
      </c>
      <c r="K16" s="122"/>
      <c r="O16" s="9">
        <f>K16-I16</f>
        <v>0</v>
      </c>
      <c r="P16" s="9">
        <f>ROUND(O16/365,2)</f>
        <v>0</v>
      </c>
      <c r="Q16" s="9">
        <f>ROUNDUP(P16,0)</f>
        <v>0</v>
      </c>
      <c r="R16" t="s">
        <v>63</v>
      </c>
    </row>
    <row r="17" spans="1:22" ht="19.8" customHeight="1" x14ac:dyDescent="0.3">
      <c r="A17" s="414" t="s">
        <v>2</v>
      </c>
      <c r="B17" s="415"/>
      <c r="C17" s="416"/>
      <c r="D17" s="142" t="s">
        <v>19</v>
      </c>
      <c r="E17" s="123"/>
      <c r="F17" s="124"/>
      <c r="G17" s="124"/>
      <c r="H17" s="392"/>
      <c r="I17" s="392"/>
      <c r="J17" s="392"/>
      <c r="K17" s="393"/>
      <c r="R17" t="s">
        <v>64</v>
      </c>
    </row>
    <row r="18" spans="1:22" ht="19.8" customHeight="1" x14ac:dyDescent="0.3">
      <c r="A18" s="417"/>
      <c r="B18" s="418"/>
      <c r="C18" s="419"/>
      <c r="D18" s="142" t="s">
        <v>20</v>
      </c>
      <c r="E18" s="123"/>
      <c r="F18" s="394"/>
      <c r="G18" s="394"/>
      <c r="H18" s="394"/>
      <c r="I18" s="394"/>
      <c r="J18" s="394"/>
      <c r="K18" s="395"/>
    </row>
    <row r="19" spans="1:22" ht="19.8" customHeight="1" x14ac:dyDescent="0.3">
      <c r="A19" s="417"/>
      <c r="B19" s="418"/>
      <c r="C19" s="419"/>
      <c r="D19" s="142" t="s">
        <v>21</v>
      </c>
      <c r="E19" s="123"/>
      <c r="F19" s="123"/>
      <c r="G19" s="123"/>
      <c r="H19" s="123"/>
      <c r="I19" s="125"/>
      <c r="J19" s="123"/>
      <c r="K19" s="126"/>
      <c r="V19" t="s">
        <v>63</v>
      </c>
    </row>
    <row r="20" spans="1:22" ht="21" customHeight="1" x14ac:dyDescent="0.3">
      <c r="A20" s="420"/>
      <c r="B20" s="421"/>
      <c r="C20" s="422"/>
      <c r="D20" s="143" t="s">
        <v>3</v>
      </c>
      <c r="E20" s="405"/>
      <c r="F20" s="405"/>
      <c r="G20" s="405"/>
      <c r="H20" s="405"/>
      <c r="I20" s="405"/>
      <c r="J20" s="405"/>
      <c r="K20" s="438"/>
      <c r="V20" t="s">
        <v>64</v>
      </c>
    </row>
    <row r="21" spans="1:22" x14ac:dyDescent="0.3">
      <c r="A21" s="426" t="s">
        <v>4</v>
      </c>
      <c r="B21" s="427"/>
      <c r="C21" s="428"/>
      <c r="D21" s="396"/>
      <c r="E21" s="397"/>
      <c r="F21" s="397"/>
      <c r="G21" s="397"/>
      <c r="H21" s="397"/>
      <c r="I21" s="397"/>
      <c r="J21" s="397"/>
      <c r="K21" s="398"/>
    </row>
    <row r="22" spans="1:22" x14ac:dyDescent="0.3">
      <c r="A22" s="426" t="s">
        <v>5</v>
      </c>
      <c r="B22" s="427"/>
      <c r="C22" s="428"/>
      <c r="D22" s="399"/>
      <c r="E22" s="400"/>
      <c r="F22" s="400"/>
      <c r="G22" s="400"/>
      <c r="H22" s="400"/>
      <c r="I22" s="400"/>
      <c r="J22" s="400"/>
      <c r="K22" s="401"/>
    </row>
    <row r="23" spans="1:22" x14ac:dyDescent="0.3">
      <c r="A23" s="426" t="s">
        <v>6</v>
      </c>
      <c r="B23" s="427"/>
      <c r="C23" s="428"/>
      <c r="D23" s="399"/>
      <c r="E23" s="400"/>
      <c r="F23" s="400"/>
      <c r="G23" s="400"/>
      <c r="H23" s="400"/>
      <c r="I23" s="400"/>
      <c r="J23" s="400"/>
      <c r="K23" s="401"/>
    </row>
    <row r="24" spans="1:22" x14ac:dyDescent="0.3">
      <c r="A24" s="448" t="s">
        <v>122</v>
      </c>
      <c r="B24" s="415"/>
      <c r="C24" s="416"/>
      <c r="D24" s="320" t="s">
        <v>123</v>
      </c>
      <c r="E24" s="320" t="s">
        <v>124</v>
      </c>
      <c r="F24" s="320" t="s">
        <v>125</v>
      </c>
      <c r="G24" s="449" t="s">
        <v>126</v>
      </c>
      <c r="H24" s="450"/>
      <c r="I24" s="320" t="s">
        <v>127</v>
      </c>
      <c r="J24" s="449" t="s">
        <v>128</v>
      </c>
      <c r="K24" s="450"/>
    </row>
    <row r="25" spans="1:22" x14ac:dyDescent="0.3">
      <c r="A25" s="420"/>
      <c r="B25" s="421"/>
      <c r="C25" s="422"/>
      <c r="D25" s="187"/>
      <c r="E25" s="187"/>
      <c r="F25" s="187"/>
      <c r="G25" s="451"/>
      <c r="H25" s="452"/>
      <c r="I25" s="187"/>
      <c r="J25" s="451"/>
      <c r="K25" s="452"/>
    </row>
    <row r="26" spans="1:22" ht="23.55" hidden="1" customHeight="1" x14ac:dyDescent="0.3">
      <c r="A26" s="468" t="s">
        <v>185</v>
      </c>
      <c r="B26" s="469"/>
      <c r="C26" s="470"/>
      <c r="D26" s="453" t="s">
        <v>162</v>
      </c>
      <c r="E26" s="454"/>
      <c r="F26" s="455"/>
      <c r="G26" s="471" t="s">
        <v>245</v>
      </c>
      <c r="H26" s="472"/>
      <c r="I26" s="473" t="s">
        <v>7</v>
      </c>
      <c r="J26" s="474"/>
      <c r="K26" s="475"/>
    </row>
    <row r="27" spans="1:22" hidden="1" x14ac:dyDescent="0.3">
      <c r="A27" s="476" t="s">
        <v>242</v>
      </c>
      <c r="B27" s="477"/>
      <c r="C27" s="478"/>
      <c r="D27" s="456" t="str">
        <f>IF(MAX(Medications!$R$7:$R$15)&gt;0,VLOOKUP(1,Medications!$R$7:$S$15,2,FALSE),"")</f>
        <v/>
      </c>
      <c r="E27" s="457"/>
      <c r="F27" s="458"/>
      <c r="G27" s="379" t="str">
        <f>IF(MAX(Medications!$R$7:$R$15)&gt;0,VLOOKUP(1,Medications!$R$7:$T$15,3,FALSE),"")</f>
        <v/>
      </c>
      <c r="H27" s="380"/>
      <c r="I27" s="377" t="str">
        <f>IF(MAX(Medications!$R$7:$R$15)&gt;0,VLOOKUP(1,Medications!$R$7:$U$15,4,FALSE),"")</f>
        <v/>
      </c>
      <c r="J27" s="377"/>
      <c r="K27" s="378"/>
      <c r="O27" s="9">
        <f>IF(D27="",0,1)</f>
        <v>0</v>
      </c>
      <c r="P27" s="9" t="str">
        <f>IF(O27&gt;0,G27,"")</f>
        <v/>
      </c>
      <c r="Q27" s="9" t="str">
        <f>IF(O27&gt;0,D27,"")</f>
        <v/>
      </c>
    </row>
    <row r="28" spans="1:22" hidden="1" x14ac:dyDescent="0.3">
      <c r="A28" s="479"/>
      <c r="B28" s="477"/>
      <c r="C28" s="478"/>
      <c r="D28" s="456" t="str">
        <f>IF(MAX(Medications!$R$7:$R$15)&gt;1,VLOOKUP(2,Medications!$R$7:$S$15,2,FALSE),"")</f>
        <v/>
      </c>
      <c r="E28" s="457"/>
      <c r="F28" s="458"/>
      <c r="G28" s="379" t="str">
        <f>IF(MAX(Medications!$R$7:$R$15)&gt;1,VLOOKUP(2,Medications!$R$7:$T$15,3,FALSE),"")</f>
        <v/>
      </c>
      <c r="H28" s="380"/>
      <c r="I28" s="377" t="str">
        <f>IF(MAX(Medications!$R$7:$R$15)&gt;1,VLOOKUP(2,Medications!$R$7:$U$15,4,FALSE),"")</f>
        <v/>
      </c>
      <c r="J28" s="377"/>
      <c r="K28" s="378"/>
      <c r="L28" s="147"/>
      <c r="O28" s="9">
        <f>IF(D28="",0,1+O27)</f>
        <v>0</v>
      </c>
      <c r="P28" s="212" t="str">
        <f t="shared" ref="P28:P35" si="0">IF(O28&gt;0,G28,"")</f>
        <v/>
      </c>
      <c r="Q28" s="146" t="str">
        <f t="shared" ref="Q28:Q35" si="1">IF(O28&gt;0,D28,"")</f>
        <v/>
      </c>
    </row>
    <row r="29" spans="1:22" hidden="1" x14ac:dyDescent="0.3">
      <c r="A29" s="479"/>
      <c r="B29" s="477"/>
      <c r="C29" s="478"/>
      <c r="D29" s="456" t="str">
        <f>IF(MAX(Medications!$R$7:$R$15)&gt;2,VLOOKUP(3,Medications!$R$7:$S$15,2,FALSE),"")</f>
        <v/>
      </c>
      <c r="E29" s="457"/>
      <c r="F29" s="458"/>
      <c r="G29" s="379" t="str">
        <f>IF(MAX(Medications!$R$7:$R$15)&gt;2,VLOOKUP(3,Medications!$R$7:$T$15,3,FALSE),"")</f>
        <v/>
      </c>
      <c r="H29" s="380"/>
      <c r="I29" s="377" t="str">
        <f>IF(MAX(Medications!$R$7:$R$15)&gt;2,VLOOKUP(3,Medications!$R$7:$U$15,4,FALSE),"")</f>
        <v/>
      </c>
      <c r="J29" s="377"/>
      <c r="K29" s="378"/>
      <c r="O29" s="146">
        <f>IF(D29="",0,1+(MAX(O27:O28)))</f>
        <v>0</v>
      </c>
      <c r="P29" s="212" t="str">
        <f t="shared" si="0"/>
        <v/>
      </c>
      <c r="Q29" s="146" t="str">
        <f t="shared" si="1"/>
        <v/>
      </c>
    </row>
    <row r="30" spans="1:22" hidden="1" x14ac:dyDescent="0.3">
      <c r="A30" s="480"/>
      <c r="B30" s="481"/>
      <c r="C30" s="482"/>
      <c r="D30" s="456" t="str">
        <f>IF(MAX(Medications!$R$7:$R$15)&gt;3,VLOOKUP(4,Medications!$R$7:$S$15,2,FALSE),"")</f>
        <v/>
      </c>
      <c r="E30" s="457"/>
      <c r="F30" s="458"/>
      <c r="G30" s="379" t="str">
        <f>IF(MAX(Medications!$R$7:$R$15)&gt;3,VLOOKUP(4,Medications!$R$7:$T$15,3,FALSE),"")</f>
        <v/>
      </c>
      <c r="H30" s="380"/>
      <c r="I30" s="377" t="str">
        <f>IF(MAX(Medications!$R$7:$R$15)&gt;3,VLOOKUP(4,Medications!$R$7:$U$15,4,FALSE),"")</f>
        <v/>
      </c>
      <c r="J30" s="377"/>
      <c r="K30" s="378"/>
      <c r="O30" s="146">
        <f>IF(D30="",0,1+(MAX(O27:O29)))</f>
        <v>0</v>
      </c>
      <c r="P30" s="212" t="str">
        <f t="shared" si="0"/>
        <v/>
      </c>
      <c r="Q30" s="146" t="str">
        <f t="shared" si="1"/>
        <v/>
      </c>
    </row>
    <row r="31" spans="1:22" hidden="1" x14ac:dyDescent="0.3">
      <c r="A31" s="480"/>
      <c r="B31" s="481"/>
      <c r="C31" s="482"/>
      <c r="D31" s="456" t="str">
        <f>IF(MAX(Medications!$R$7:$R$15)&gt;4,VLOOKUP(5,Medications!$R$7:$S$15,2,FALSE),"")</f>
        <v/>
      </c>
      <c r="E31" s="457"/>
      <c r="F31" s="458"/>
      <c r="G31" s="379" t="str">
        <f>IF(MAX(Medications!$R$7:$R$15)&gt;4,VLOOKUP(5,Medications!$R$7:$T$15,3,FALSE),"")</f>
        <v/>
      </c>
      <c r="H31" s="380"/>
      <c r="I31" s="377" t="str">
        <f>IF(MAX(Medications!$R$7:$R$15)&gt;4,VLOOKUP(5,Medications!$R$7:$U$15,4,FALSE),"")</f>
        <v/>
      </c>
      <c r="J31" s="377"/>
      <c r="K31" s="378"/>
      <c r="O31" s="146">
        <f>IF(D31="",0,1+(MAX(O27:O30)))</f>
        <v>0</v>
      </c>
      <c r="P31" s="212" t="str">
        <f t="shared" si="0"/>
        <v/>
      </c>
      <c r="Q31" s="146" t="str">
        <f t="shared" si="1"/>
        <v/>
      </c>
    </row>
    <row r="32" spans="1:22" hidden="1" x14ac:dyDescent="0.3">
      <c r="A32" s="480"/>
      <c r="B32" s="481"/>
      <c r="C32" s="482"/>
      <c r="D32" s="456" t="str">
        <f>IF(MAX(Medications!$R$7:$R$15)&gt;5,VLOOKUP(6,Medications!$R$7:$S$15,2,FALSE),"")</f>
        <v/>
      </c>
      <c r="E32" s="457"/>
      <c r="F32" s="458"/>
      <c r="G32" s="379" t="str">
        <f>IF(MAX(Medications!$R$7:$R$15)&gt;5,VLOOKUP(6,Medications!$R$7:$T$15,3,FALSE),"")</f>
        <v/>
      </c>
      <c r="H32" s="380"/>
      <c r="I32" s="377" t="str">
        <f>IF(MAX(Medications!$R$7:$R$15)&gt;5,VLOOKUP(6,Medications!$R$7:$U$15,4,FALSE),"")</f>
        <v/>
      </c>
      <c r="J32" s="377"/>
      <c r="K32" s="378"/>
      <c r="O32" s="146">
        <f>IF(D32="",0,1+(MAX(O27:O31)))</f>
        <v>0</v>
      </c>
      <c r="P32" s="212" t="str">
        <f t="shared" si="0"/>
        <v/>
      </c>
      <c r="Q32" s="146" t="str">
        <f t="shared" si="1"/>
        <v/>
      </c>
    </row>
    <row r="33" spans="1:17" hidden="1" x14ac:dyDescent="0.3">
      <c r="A33" s="480"/>
      <c r="B33" s="481"/>
      <c r="C33" s="482"/>
      <c r="D33" s="456" t="str">
        <f>IF(MAX(Medications!$R$7:$R$15)&gt;6,VLOOKUP(7,Medications!$R$7:$S$15,2,FALSE),"")</f>
        <v/>
      </c>
      <c r="E33" s="457"/>
      <c r="F33" s="458"/>
      <c r="G33" s="379" t="str">
        <f>IF(MAX(Medications!$R$7:$R$15)&gt;6,VLOOKUP(7,Medications!$R$7:$T$15,3,FALSE),"")</f>
        <v/>
      </c>
      <c r="H33" s="380"/>
      <c r="I33" s="377" t="str">
        <f>IF(MAX(Medications!$R$7:$R$15)&gt;6,VLOOKUP(7,Medications!$R$7:$U$15,4,FALSE),"")</f>
        <v/>
      </c>
      <c r="J33" s="377"/>
      <c r="K33" s="378"/>
      <c r="O33" s="146">
        <f>IF(D33="",0,1+(MAX(O27:O32)))</f>
        <v>0</v>
      </c>
      <c r="P33" s="212" t="str">
        <f t="shared" si="0"/>
        <v/>
      </c>
      <c r="Q33" s="146" t="str">
        <f t="shared" si="1"/>
        <v/>
      </c>
    </row>
    <row r="34" spans="1:17" hidden="1" x14ac:dyDescent="0.3">
      <c r="A34" s="480"/>
      <c r="B34" s="481"/>
      <c r="C34" s="482"/>
      <c r="D34" s="456" t="str">
        <f>IF(MAX(Medications!$R$7:$R$15)&gt;7,VLOOKUP(8,Medications!$R$7:$S$15,2,FALSE),"")</f>
        <v/>
      </c>
      <c r="E34" s="457"/>
      <c r="F34" s="458"/>
      <c r="G34" s="379" t="str">
        <f>IF(MAX(Medications!$R$7:$R$15)&gt;7,VLOOKUP(8,Medications!$R$7:$T$15,3,FALSE),"")</f>
        <v/>
      </c>
      <c r="H34" s="380"/>
      <c r="I34" s="377" t="str">
        <f>IF(MAX(Medications!$R$7:$R$15)&gt;7,VLOOKUP(8,Medications!$R$7:$U$15,4,FALSE),"")</f>
        <v/>
      </c>
      <c r="J34" s="377"/>
      <c r="K34" s="378"/>
      <c r="O34" s="146">
        <f>IF(D34="",0,1+(MAX(O27:O33)))</f>
        <v>0</v>
      </c>
      <c r="P34" s="212" t="str">
        <f t="shared" si="0"/>
        <v/>
      </c>
      <c r="Q34" s="146" t="str">
        <f t="shared" si="1"/>
        <v/>
      </c>
    </row>
    <row r="35" spans="1:17" hidden="1" x14ac:dyDescent="0.3">
      <c r="A35" s="483"/>
      <c r="B35" s="484"/>
      <c r="C35" s="485"/>
      <c r="D35" s="456" t="str">
        <f>IF(MAX(Medications!$R$7:$R$15)&gt;8,VLOOKUP(9,Medications!$R$7:$S$15,2,FALSE),"")</f>
        <v/>
      </c>
      <c r="E35" s="457"/>
      <c r="F35" s="458"/>
      <c r="G35" s="379" t="str">
        <f>IF(MAX(Medications!$R$7:$R$15)&gt;8,VLOOKUP(9,Medications!$R$7:$T$15,3,FALSE),"")</f>
        <v/>
      </c>
      <c r="H35" s="380"/>
      <c r="I35" s="377" t="str">
        <f>IF(MAX(Medications!$R$7:$R$15)&gt;8,VLOOKUP(9,Medications!$R$7:$U$15,4,FALSE),"")</f>
        <v/>
      </c>
      <c r="J35" s="377"/>
      <c r="K35" s="378"/>
      <c r="O35" s="146">
        <f>IF(D35="",0,1+(MAX(O27:O34)))</f>
        <v>0</v>
      </c>
      <c r="P35" s="212" t="str">
        <f t="shared" si="0"/>
        <v/>
      </c>
      <c r="Q35" s="146" t="str">
        <f t="shared" si="1"/>
        <v/>
      </c>
    </row>
    <row r="36" spans="1:17" ht="43.2" customHeight="1" x14ac:dyDescent="0.3">
      <c r="A36" s="462" t="s">
        <v>214</v>
      </c>
      <c r="B36" s="463"/>
      <c r="C36" s="464"/>
      <c r="D36" s="148"/>
      <c r="E36" s="459" t="str">
        <f>IF(D36="Yes","Please describe in as much detail as possible on the Manufacturing tab under the Compunding section.","")</f>
        <v/>
      </c>
      <c r="F36" s="460"/>
      <c r="G36" s="460"/>
      <c r="H36" s="460"/>
      <c r="I36" s="460"/>
      <c r="J36" s="460"/>
      <c r="K36" s="461"/>
      <c r="L36" s="147"/>
    </row>
    <row r="37" spans="1:17" ht="43.2" customHeight="1" x14ac:dyDescent="0.3">
      <c r="A37" s="426" t="s">
        <v>169</v>
      </c>
      <c r="B37" s="427"/>
      <c r="C37" s="428"/>
      <c r="D37" s="465"/>
      <c r="E37" s="466"/>
      <c r="F37" s="466"/>
      <c r="G37" s="466"/>
      <c r="H37" s="466"/>
      <c r="I37" s="466"/>
      <c r="J37" s="466"/>
      <c r="K37" s="467"/>
    </row>
    <row r="38" spans="1:17" x14ac:dyDescent="0.3">
      <c r="A38" s="429" t="s">
        <v>8</v>
      </c>
      <c r="B38" s="430"/>
      <c r="C38" s="431"/>
      <c r="D38" s="127" t="s">
        <v>95</v>
      </c>
      <c r="E38" s="10"/>
      <c r="F38" s="128"/>
      <c r="G38" s="128"/>
      <c r="H38" s="128"/>
      <c r="I38" s="128"/>
      <c r="J38" s="128"/>
      <c r="K38" s="129"/>
    </row>
    <row r="39" spans="1:17" x14ac:dyDescent="0.3">
      <c r="A39" s="432"/>
      <c r="B39" s="433"/>
      <c r="C39" s="434"/>
      <c r="D39" s="130" t="s">
        <v>90</v>
      </c>
      <c r="E39" s="131"/>
      <c r="F39" s="132"/>
      <c r="G39" s="132"/>
      <c r="H39" s="132"/>
      <c r="I39" s="132"/>
      <c r="J39" s="132"/>
      <c r="K39" s="133"/>
    </row>
    <row r="40" spans="1:17" x14ac:dyDescent="0.3">
      <c r="A40" s="432"/>
      <c r="B40" s="433"/>
      <c r="C40" s="434"/>
      <c r="D40" s="130" t="s">
        <v>94</v>
      </c>
      <c r="E40" s="131"/>
      <c r="F40" s="132"/>
      <c r="G40" s="132"/>
      <c r="H40" s="132"/>
      <c r="I40" s="132"/>
      <c r="J40" s="132"/>
      <c r="K40" s="133"/>
    </row>
    <row r="41" spans="1:17" x14ac:dyDescent="0.3">
      <c r="A41" s="432"/>
      <c r="B41" s="433"/>
      <c r="C41" s="434"/>
      <c r="D41" s="130" t="s">
        <v>96</v>
      </c>
      <c r="E41" s="131"/>
      <c r="F41" s="132"/>
      <c r="G41" s="132"/>
      <c r="H41" s="132"/>
      <c r="I41" s="132"/>
      <c r="J41" s="132"/>
      <c r="K41" s="133"/>
    </row>
    <row r="42" spans="1:17" x14ac:dyDescent="0.3">
      <c r="A42" s="432"/>
      <c r="B42" s="433"/>
      <c r="C42" s="434"/>
      <c r="D42" s="130" t="s">
        <v>97</v>
      </c>
      <c r="E42" s="131"/>
      <c r="F42" s="132"/>
      <c r="G42" s="132"/>
      <c r="H42" s="132"/>
      <c r="I42" s="132"/>
      <c r="J42" s="132"/>
      <c r="K42" s="133"/>
    </row>
    <row r="43" spans="1:17" ht="15" thickBot="1" x14ac:dyDescent="0.35">
      <c r="A43" s="432"/>
      <c r="B43" s="433"/>
      <c r="C43" s="434"/>
      <c r="D43" s="130" t="s">
        <v>98</v>
      </c>
      <c r="E43" s="131"/>
      <c r="F43" s="132"/>
      <c r="G43" s="132"/>
      <c r="H43" s="132"/>
      <c r="I43" s="132"/>
      <c r="J43" s="132"/>
      <c r="K43" s="133"/>
    </row>
    <row r="44" spans="1:17" x14ac:dyDescent="0.3">
      <c r="A44" s="432"/>
      <c r="B44" s="433"/>
      <c r="C44" s="434"/>
      <c r="D44" s="130" t="s">
        <v>99</v>
      </c>
      <c r="E44" s="134"/>
      <c r="F44" s="439"/>
      <c r="G44" s="440"/>
      <c r="H44" s="440"/>
      <c r="I44" s="440"/>
      <c r="J44" s="440"/>
      <c r="K44" s="441"/>
    </row>
    <row r="45" spans="1:17" x14ac:dyDescent="0.3">
      <c r="A45" s="432"/>
      <c r="B45" s="433"/>
      <c r="C45" s="434"/>
      <c r="D45" s="130"/>
      <c r="E45" s="135"/>
      <c r="F45" s="442"/>
      <c r="G45" s="443"/>
      <c r="H45" s="443"/>
      <c r="I45" s="443"/>
      <c r="J45" s="443"/>
      <c r="K45" s="444"/>
    </row>
    <row r="46" spans="1:17" ht="15" thickBot="1" x14ac:dyDescent="0.35">
      <c r="A46" s="435"/>
      <c r="B46" s="436"/>
      <c r="C46" s="437"/>
      <c r="D46" s="136"/>
      <c r="E46" s="322"/>
      <c r="F46" s="445"/>
      <c r="G46" s="446"/>
      <c r="H46" s="446"/>
      <c r="I46" s="446"/>
      <c r="J46" s="446"/>
      <c r="K46" s="447"/>
      <c r="L46" s="12"/>
    </row>
    <row r="47" spans="1:17" x14ac:dyDescent="0.3">
      <c r="A47" s="7"/>
      <c r="B47" s="7"/>
      <c r="C47" s="7"/>
      <c r="D47" s="7"/>
      <c r="E47" s="7"/>
      <c r="F47" s="7"/>
      <c r="G47" s="7"/>
      <c r="H47" s="7"/>
      <c r="I47" s="7"/>
      <c r="J47" s="7"/>
      <c r="K47" s="7"/>
      <c r="L47" s="7"/>
      <c r="M47" s="7"/>
    </row>
    <row r="48" spans="1:17" x14ac:dyDescent="0.3">
      <c r="A48" s="7"/>
      <c r="B48" s="7"/>
      <c r="C48" s="7"/>
      <c r="D48" s="7"/>
      <c r="E48" s="7"/>
      <c r="F48" s="7"/>
      <c r="G48" s="7"/>
      <c r="H48" s="7"/>
      <c r="I48" s="7"/>
      <c r="J48" s="7"/>
      <c r="K48" s="7"/>
      <c r="L48" s="7"/>
      <c r="M48" s="7"/>
    </row>
    <row r="49" spans="1:13" x14ac:dyDescent="0.3">
      <c r="A49" s="7"/>
      <c r="B49" s="7"/>
      <c r="C49" s="7"/>
      <c r="D49" s="7"/>
      <c r="E49" s="7"/>
      <c r="F49" s="7"/>
      <c r="G49" s="7"/>
      <c r="H49" s="7"/>
      <c r="I49" s="7"/>
      <c r="J49" s="7"/>
      <c r="K49" s="7"/>
      <c r="L49" s="7"/>
      <c r="M49" s="7"/>
    </row>
    <row r="50" spans="1:13" x14ac:dyDescent="0.3">
      <c r="A50" s="7"/>
      <c r="B50" s="7"/>
      <c r="C50" s="7"/>
      <c r="D50" s="7"/>
      <c r="E50" s="7"/>
      <c r="F50" s="7"/>
      <c r="G50" s="7"/>
      <c r="H50" s="7"/>
      <c r="I50" s="7"/>
      <c r="J50" s="7"/>
      <c r="K50" s="7"/>
      <c r="L50" s="7"/>
      <c r="M50" s="7"/>
    </row>
    <row r="51" spans="1:13" x14ac:dyDescent="0.3">
      <c r="A51" s="7"/>
      <c r="B51" s="7"/>
      <c r="C51" s="7"/>
      <c r="D51" s="7"/>
      <c r="E51" s="7"/>
      <c r="F51" s="7"/>
      <c r="G51" s="7"/>
      <c r="H51" s="7"/>
      <c r="I51" s="7"/>
      <c r="J51" s="7"/>
      <c r="K51" s="7"/>
      <c r="L51" s="7"/>
      <c r="M51" s="7"/>
    </row>
    <row r="52" spans="1:13" x14ac:dyDescent="0.3">
      <c r="A52" s="7"/>
      <c r="B52" s="7"/>
      <c r="C52" s="7"/>
      <c r="D52" s="7"/>
      <c r="E52" s="7"/>
      <c r="F52" s="7"/>
      <c r="G52" s="7"/>
      <c r="H52" s="7"/>
      <c r="I52" s="7"/>
      <c r="J52" s="7"/>
      <c r="K52" s="7"/>
      <c r="L52" s="7"/>
      <c r="M52" s="7"/>
    </row>
    <row r="53" spans="1:13" x14ac:dyDescent="0.3">
      <c r="A53" s="7"/>
      <c r="B53" s="7"/>
      <c r="C53" s="7"/>
      <c r="D53" s="7"/>
      <c r="E53" s="7"/>
      <c r="F53" s="7"/>
      <c r="G53" s="7"/>
      <c r="H53" s="7"/>
      <c r="I53" s="7"/>
      <c r="J53" s="7"/>
      <c r="K53" s="7"/>
      <c r="L53" s="7"/>
      <c r="M53" s="7"/>
    </row>
    <row r="54" spans="1:13" x14ac:dyDescent="0.3">
      <c r="A54" s="7"/>
      <c r="B54" s="7"/>
      <c r="C54" s="7"/>
      <c r="D54" s="7"/>
      <c r="E54" s="7"/>
      <c r="F54" s="7"/>
      <c r="G54" s="7"/>
      <c r="H54" s="7"/>
      <c r="I54" s="7"/>
      <c r="J54" s="7"/>
      <c r="K54" s="7"/>
      <c r="L54" s="7"/>
      <c r="M54" s="7"/>
    </row>
    <row r="55" spans="1:13" x14ac:dyDescent="0.3">
      <c r="A55" s="7"/>
      <c r="B55" s="7"/>
      <c r="C55" s="7"/>
      <c r="D55" s="7"/>
      <c r="E55" s="7"/>
      <c r="F55" s="7"/>
      <c r="G55" s="7"/>
      <c r="H55" s="7"/>
      <c r="I55" s="7"/>
      <c r="J55" s="7"/>
      <c r="K55" s="7"/>
      <c r="L55" s="7"/>
      <c r="M55" s="7"/>
    </row>
    <row r="56" spans="1:13" x14ac:dyDescent="0.3">
      <c r="A56" s="7"/>
      <c r="B56" s="7"/>
      <c r="C56" s="7"/>
      <c r="D56" s="7"/>
      <c r="E56" s="7"/>
      <c r="F56" s="7"/>
      <c r="G56" s="7"/>
      <c r="H56" s="7"/>
      <c r="I56" s="7"/>
      <c r="J56" s="7"/>
      <c r="K56" s="7"/>
      <c r="L56" s="7"/>
      <c r="M56" s="7"/>
    </row>
    <row r="57" spans="1:13" x14ac:dyDescent="0.3">
      <c r="A57" s="7"/>
      <c r="B57" s="7"/>
      <c r="C57" s="7"/>
      <c r="D57" s="7"/>
      <c r="E57" s="7"/>
      <c r="F57" s="7"/>
      <c r="G57" s="7"/>
      <c r="H57" s="7"/>
      <c r="I57" s="7"/>
      <c r="J57" s="7"/>
      <c r="K57" s="7"/>
      <c r="L57" s="7"/>
      <c r="M57" s="7"/>
    </row>
    <row r="58" spans="1:13" x14ac:dyDescent="0.3">
      <c r="A58" s="7"/>
      <c r="B58" s="7"/>
      <c r="C58" s="7"/>
      <c r="D58" s="7"/>
      <c r="E58" s="7"/>
      <c r="F58" s="7"/>
      <c r="G58" s="7"/>
      <c r="H58" s="7"/>
      <c r="I58" s="7"/>
      <c r="J58" s="7"/>
      <c r="K58" s="7"/>
      <c r="L58" s="7"/>
      <c r="M58" s="7"/>
    </row>
    <row r="59" spans="1:13" x14ac:dyDescent="0.3">
      <c r="A59" s="7"/>
      <c r="B59" s="7"/>
      <c r="C59" s="7"/>
      <c r="D59" s="7"/>
      <c r="E59" s="7"/>
      <c r="F59" s="7"/>
      <c r="G59" s="7"/>
      <c r="H59" s="7"/>
      <c r="I59" s="7"/>
      <c r="J59" s="7"/>
      <c r="K59" s="7"/>
      <c r="L59" s="7"/>
      <c r="M59" s="7"/>
    </row>
    <row r="60" spans="1:13" x14ac:dyDescent="0.3">
      <c r="A60" s="7"/>
      <c r="B60" s="7"/>
      <c r="C60" s="7"/>
      <c r="D60" s="7"/>
      <c r="E60" s="7"/>
      <c r="F60" s="7"/>
      <c r="G60" s="7"/>
      <c r="H60" s="7"/>
      <c r="I60" s="7"/>
      <c r="J60" s="7"/>
      <c r="K60" s="7"/>
      <c r="L60" s="7"/>
      <c r="M60" s="7"/>
    </row>
  </sheetData>
  <sheetProtection algorithmName="SHA-512" hashValue="MViIQp0MCuNcYfP4IQtDPXUoXOS5OWyV+6N2wHQasO9LVxQOvLSw+vJmm3vECB5TvwAGQZANuYainaWsg70v7w==" saltValue="JjzRjehJB/81je5TW7vRpA==" spinCount="100000" sheet="1" selectLockedCells="1"/>
  <mergeCells count="67">
    <mergeCell ref="G34:H34"/>
    <mergeCell ref="G35:H35"/>
    <mergeCell ref="A23:C23"/>
    <mergeCell ref="D31:F31"/>
    <mergeCell ref="D32:F32"/>
    <mergeCell ref="A27:C35"/>
    <mergeCell ref="D37:K37"/>
    <mergeCell ref="A37:C37"/>
    <mergeCell ref="D23:K23"/>
    <mergeCell ref="D27:F27"/>
    <mergeCell ref="I32:K32"/>
    <mergeCell ref="I34:K34"/>
    <mergeCell ref="I35:K35"/>
    <mergeCell ref="A26:C26"/>
    <mergeCell ref="G26:H26"/>
    <mergeCell ref="I26:K26"/>
    <mergeCell ref="G27:H27"/>
    <mergeCell ref="D33:F33"/>
    <mergeCell ref="I27:K27"/>
    <mergeCell ref="G32:H32"/>
    <mergeCell ref="I28:K28"/>
    <mergeCell ref="I29:K29"/>
    <mergeCell ref="A38:C46"/>
    <mergeCell ref="E20:K20"/>
    <mergeCell ref="F44:K46"/>
    <mergeCell ref="A24:C25"/>
    <mergeCell ref="G24:H24"/>
    <mergeCell ref="G25:H25"/>
    <mergeCell ref="J24:K24"/>
    <mergeCell ref="J25:K25"/>
    <mergeCell ref="D26:F26"/>
    <mergeCell ref="D34:F34"/>
    <mergeCell ref="D35:F35"/>
    <mergeCell ref="D28:F28"/>
    <mergeCell ref="D29:F29"/>
    <mergeCell ref="D30:F30"/>
    <mergeCell ref="E36:K36"/>
    <mergeCell ref="A36:C36"/>
    <mergeCell ref="A7:K7"/>
    <mergeCell ref="H17:K17"/>
    <mergeCell ref="F18:K18"/>
    <mergeCell ref="D21:K21"/>
    <mergeCell ref="D22:K22"/>
    <mergeCell ref="B8:K8"/>
    <mergeCell ref="H9:K9"/>
    <mergeCell ref="C10:K10"/>
    <mergeCell ref="B9:E9"/>
    <mergeCell ref="A11:K12"/>
    <mergeCell ref="F9:G9"/>
    <mergeCell ref="E16:H16"/>
    <mergeCell ref="A17:C20"/>
    <mergeCell ref="A16:C16"/>
    <mergeCell ref="A21:C21"/>
    <mergeCell ref="A22:C22"/>
    <mergeCell ref="A1:K1"/>
    <mergeCell ref="A2:K2"/>
    <mergeCell ref="A3:K3"/>
    <mergeCell ref="A4:K4"/>
    <mergeCell ref="A5:K5"/>
    <mergeCell ref="I30:K30"/>
    <mergeCell ref="I31:K31"/>
    <mergeCell ref="I33:K33"/>
    <mergeCell ref="G28:H28"/>
    <mergeCell ref="G29:H29"/>
    <mergeCell ref="G30:H30"/>
    <mergeCell ref="G33:H33"/>
    <mergeCell ref="G31:H31"/>
  </mergeCells>
  <phoneticPr fontId="55" type="noConversion"/>
  <dataValidations count="4">
    <dataValidation type="date" allowBlank="1" showInputMessage="1" showErrorMessage="1" error="Please enter date value m/d/yyyy" sqref="K16 K19" xr:uid="{00000000-0002-0000-0100-000000000000}">
      <formula1>1</formula1>
      <formula2>402133</formula2>
    </dataValidation>
    <dataValidation type="date" allowBlank="1" showInputMessage="1" showErrorMessage="1" error="Please enter date value m/d/yyyy" sqref="I16 I19" xr:uid="{00000000-0002-0000-0100-000001000000}">
      <formula1>43466</formula1>
      <formula2>55153</formula2>
    </dataValidation>
    <dataValidation type="whole" allowBlank="1" showInputMessage="1" showErrorMessage="1" error="Please enter number value" sqref="D16" xr:uid="{00000000-0002-0000-0100-000002000000}">
      <formula1>1</formula1>
      <formula2>111111111</formula2>
    </dataValidation>
    <dataValidation type="list" allowBlank="1" showInputMessage="1" showErrorMessage="1" sqref="D36" xr:uid="{00000000-0002-0000-0100-000003000000}">
      <formula1>$V$19:$V$20</formula1>
    </dataValidation>
  </dataValidations>
  <hyperlinks>
    <hyperlink ref="A6" r:id="rId1" display="www.itmat.upenn.edu/ids.shtml" xr:uid="{00000000-0004-0000-0100-000000000000}"/>
    <hyperlink ref="D6" r:id="rId2" xr:uid="{00000000-0004-0000-0100-000001000000}"/>
    <hyperlink ref="H6" r:id="rId3" xr:uid="{00000000-0004-0000-0100-000002000000}"/>
  </hyperlinks>
  <pageMargins left="0.7" right="0.7" top="0.75" bottom="0.75" header="0.3" footer="0.3"/>
  <pageSetup scale="86" fitToHeight="0"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32" r:id="rId7" name="Check Box 8">
              <controlPr defaultSize="0" autoFill="0" autoLine="0" autoPict="0" altText="HUP">
                <anchor moveWithCells="1">
                  <from>
                    <xdr:col>4</xdr:col>
                    <xdr:colOff>175260</xdr:colOff>
                    <xdr:row>16</xdr:row>
                    <xdr:rowOff>0</xdr:rowOff>
                  </from>
                  <to>
                    <xdr:col>4</xdr:col>
                    <xdr:colOff>594360</xdr:colOff>
                    <xdr:row>17</xdr:row>
                    <xdr:rowOff>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4</xdr:col>
                    <xdr:colOff>632460</xdr:colOff>
                    <xdr:row>16</xdr:row>
                    <xdr:rowOff>22860</xdr:rowOff>
                  </from>
                  <to>
                    <xdr:col>5</xdr:col>
                    <xdr:colOff>289560</xdr:colOff>
                    <xdr:row>16</xdr:row>
                    <xdr:rowOff>228600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5</xdr:col>
                    <xdr:colOff>396240</xdr:colOff>
                    <xdr:row>16</xdr:row>
                    <xdr:rowOff>53340</xdr:rowOff>
                  </from>
                  <to>
                    <xdr:col>6</xdr:col>
                    <xdr:colOff>205740</xdr:colOff>
                    <xdr:row>16</xdr:row>
                    <xdr:rowOff>213360</xdr:rowOff>
                  </to>
                </anchor>
              </controlPr>
            </control>
          </mc:Choice>
        </mc:AlternateContent>
        <mc:AlternateContent xmlns:mc="http://schemas.openxmlformats.org/markup-compatibility/2006">
          <mc:Choice Requires="x14">
            <control shapeId="1036" r:id="rId10" name="Check Box 12">
              <controlPr defaultSize="0" autoFill="0" autoLine="0" autoPict="0" altText="HUP">
                <anchor moveWithCells="1">
                  <from>
                    <xdr:col>5</xdr:col>
                    <xdr:colOff>22860</xdr:colOff>
                    <xdr:row>18</xdr:row>
                    <xdr:rowOff>15240</xdr:rowOff>
                  </from>
                  <to>
                    <xdr:col>5</xdr:col>
                    <xdr:colOff>441960</xdr:colOff>
                    <xdr:row>19</xdr:row>
                    <xdr:rowOff>15240</xdr:rowOff>
                  </to>
                </anchor>
              </controlPr>
            </control>
          </mc:Choice>
        </mc:AlternateContent>
        <mc:AlternateContent xmlns:mc="http://schemas.openxmlformats.org/markup-compatibility/2006">
          <mc:Choice Requires="x14">
            <control shapeId="1038" r:id="rId11" name="Check Box 14">
              <controlPr defaultSize="0" autoFill="0" autoLine="0" autoPict="0" altText="HUP">
                <anchor moveWithCells="1">
                  <from>
                    <xdr:col>6</xdr:col>
                    <xdr:colOff>22860</xdr:colOff>
                    <xdr:row>18</xdr:row>
                    <xdr:rowOff>15240</xdr:rowOff>
                  </from>
                  <to>
                    <xdr:col>7</xdr:col>
                    <xdr:colOff>281940</xdr:colOff>
                    <xdr:row>19</xdr:row>
                    <xdr:rowOff>15240</xdr:rowOff>
                  </to>
                </anchor>
              </controlPr>
            </control>
          </mc:Choice>
        </mc:AlternateContent>
        <mc:AlternateContent xmlns:mc="http://schemas.openxmlformats.org/markup-compatibility/2006">
          <mc:Choice Requires="x14">
            <control shapeId="1039" r:id="rId12" name="Check Box 15">
              <controlPr defaultSize="0" autoFill="0" autoLine="0" autoPict="0" altText="HUP">
                <anchor moveWithCells="1">
                  <from>
                    <xdr:col>7</xdr:col>
                    <xdr:colOff>365760</xdr:colOff>
                    <xdr:row>18</xdr:row>
                    <xdr:rowOff>15240</xdr:rowOff>
                  </from>
                  <to>
                    <xdr:col>8</xdr:col>
                    <xdr:colOff>396240</xdr:colOff>
                    <xdr:row>19</xdr:row>
                    <xdr:rowOff>15240</xdr:rowOff>
                  </to>
                </anchor>
              </controlPr>
            </control>
          </mc:Choice>
        </mc:AlternateContent>
        <mc:AlternateContent xmlns:mc="http://schemas.openxmlformats.org/markup-compatibility/2006">
          <mc:Choice Requires="x14">
            <control shapeId="1040" r:id="rId13" name="Check Box 16">
              <controlPr defaultSize="0" autoFill="0" autoLine="0" autoPict="0" altText="HUP">
                <anchor moveWithCells="1">
                  <from>
                    <xdr:col>3</xdr:col>
                    <xdr:colOff>0</xdr:colOff>
                    <xdr:row>37</xdr:row>
                    <xdr:rowOff>0</xdr:rowOff>
                  </from>
                  <to>
                    <xdr:col>3</xdr:col>
                    <xdr:colOff>175260</xdr:colOff>
                    <xdr:row>38</xdr:row>
                    <xdr:rowOff>15240</xdr:rowOff>
                  </to>
                </anchor>
              </controlPr>
            </control>
          </mc:Choice>
        </mc:AlternateContent>
        <mc:AlternateContent xmlns:mc="http://schemas.openxmlformats.org/markup-compatibility/2006">
          <mc:Choice Requires="x14">
            <control shapeId="1041" r:id="rId14" name="Check Box 17">
              <controlPr defaultSize="0" autoFill="0" autoLine="0" autoPict="0" altText="HUP">
                <anchor moveWithCells="1">
                  <from>
                    <xdr:col>3</xdr:col>
                    <xdr:colOff>0</xdr:colOff>
                    <xdr:row>38</xdr:row>
                    <xdr:rowOff>0</xdr:rowOff>
                  </from>
                  <to>
                    <xdr:col>3</xdr:col>
                    <xdr:colOff>175260</xdr:colOff>
                    <xdr:row>39</xdr:row>
                    <xdr:rowOff>15240</xdr:rowOff>
                  </to>
                </anchor>
              </controlPr>
            </control>
          </mc:Choice>
        </mc:AlternateContent>
        <mc:AlternateContent xmlns:mc="http://schemas.openxmlformats.org/markup-compatibility/2006">
          <mc:Choice Requires="x14">
            <control shapeId="1042" r:id="rId15" name="Check Box 18">
              <controlPr defaultSize="0" autoFill="0" autoLine="0" autoPict="0" altText="HUP">
                <anchor moveWithCells="1">
                  <from>
                    <xdr:col>3</xdr:col>
                    <xdr:colOff>0</xdr:colOff>
                    <xdr:row>39</xdr:row>
                    <xdr:rowOff>15240</xdr:rowOff>
                  </from>
                  <to>
                    <xdr:col>3</xdr:col>
                    <xdr:colOff>175260</xdr:colOff>
                    <xdr:row>40</xdr:row>
                    <xdr:rowOff>22860</xdr:rowOff>
                  </to>
                </anchor>
              </controlPr>
            </control>
          </mc:Choice>
        </mc:AlternateContent>
        <mc:AlternateContent xmlns:mc="http://schemas.openxmlformats.org/markup-compatibility/2006">
          <mc:Choice Requires="x14">
            <control shapeId="1043" r:id="rId16" name="Check Box 19">
              <controlPr defaultSize="0" autoFill="0" autoLine="0" autoPict="0" altText="HUP">
                <anchor moveWithCells="1">
                  <from>
                    <xdr:col>3</xdr:col>
                    <xdr:colOff>0</xdr:colOff>
                    <xdr:row>40</xdr:row>
                    <xdr:rowOff>0</xdr:rowOff>
                  </from>
                  <to>
                    <xdr:col>3</xdr:col>
                    <xdr:colOff>175260</xdr:colOff>
                    <xdr:row>41</xdr:row>
                    <xdr:rowOff>15240</xdr:rowOff>
                  </to>
                </anchor>
              </controlPr>
            </control>
          </mc:Choice>
        </mc:AlternateContent>
        <mc:AlternateContent xmlns:mc="http://schemas.openxmlformats.org/markup-compatibility/2006">
          <mc:Choice Requires="x14">
            <control shapeId="1044" r:id="rId17" name="Check Box 20">
              <controlPr defaultSize="0" autoFill="0" autoLine="0" autoPict="0" altText="HUP">
                <anchor moveWithCells="1">
                  <from>
                    <xdr:col>3</xdr:col>
                    <xdr:colOff>0</xdr:colOff>
                    <xdr:row>40</xdr:row>
                    <xdr:rowOff>175260</xdr:rowOff>
                  </from>
                  <to>
                    <xdr:col>3</xdr:col>
                    <xdr:colOff>175260</xdr:colOff>
                    <xdr:row>42</xdr:row>
                    <xdr:rowOff>15240</xdr:rowOff>
                  </to>
                </anchor>
              </controlPr>
            </control>
          </mc:Choice>
        </mc:AlternateContent>
        <mc:AlternateContent xmlns:mc="http://schemas.openxmlformats.org/markup-compatibility/2006">
          <mc:Choice Requires="x14">
            <control shapeId="1045" r:id="rId18" name="Check Box 21">
              <controlPr defaultSize="0" autoFill="0" autoLine="0" autoPict="0" altText="HUP">
                <anchor moveWithCells="1">
                  <from>
                    <xdr:col>3</xdr:col>
                    <xdr:colOff>0</xdr:colOff>
                    <xdr:row>41</xdr:row>
                    <xdr:rowOff>167640</xdr:rowOff>
                  </from>
                  <to>
                    <xdr:col>3</xdr:col>
                    <xdr:colOff>175260</xdr:colOff>
                    <xdr:row>42</xdr:row>
                    <xdr:rowOff>175260</xdr:rowOff>
                  </to>
                </anchor>
              </controlPr>
            </control>
          </mc:Choice>
        </mc:AlternateContent>
        <mc:AlternateContent xmlns:mc="http://schemas.openxmlformats.org/markup-compatibility/2006">
          <mc:Choice Requires="x14">
            <control shapeId="1046" r:id="rId19" name="Check Box 22">
              <controlPr defaultSize="0" autoFill="0" autoLine="0" autoPict="0" altText="HUP">
                <anchor moveWithCells="1">
                  <from>
                    <xdr:col>3</xdr:col>
                    <xdr:colOff>15240</xdr:colOff>
                    <xdr:row>42</xdr:row>
                    <xdr:rowOff>167640</xdr:rowOff>
                  </from>
                  <to>
                    <xdr:col>3</xdr:col>
                    <xdr:colOff>175260</xdr:colOff>
                    <xdr:row>43</xdr:row>
                    <xdr:rowOff>175260</xdr:rowOff>
                  </to>
                </anchor>
              </controlPr>
            </control>
          </mc:Choice>
        </mc:AlternateContent>
        <mc:AlternateContent xmlns:mc="http://schemas.openxmlformats.org/markup-compatibility/2006">
          <mc:Choice Requires="x14">
            <control shapeId="1047" r:id="rId20" name="Check Box 23">
              <controlPr defaultSize="0" autoFill="0" autoLine="0" autoPict="0" altText="HUP">
                <anchor moveWithCells="1">
                  <from>
                    <xdr:col>5</xdr:col>
                    <xdr:colOff>22860</xdr:colOff>
                    <xdr:row>18</xdr:row>
                    <xdr:rowOff>22860</xdr:rowOff>
                  </from>
                  <to>
                    <xdr:col>5</xdr:col>
                    <xdr:colOff>441960</xdr:colOff>
                    <xdr:row>19</xdr:row>
                    <xdr:rowOff>22860</xdr:rowOff>
                  </to>
                </anchor>
              </controlPr>
            </control>
          </mc:Choice>
        </mc:AlternateContent>
        <mc:AlternateContent xmlns:mc="http://schemas.openxmlformats.org/markup-compatibility/2006">
          <mc:Choice Requires="x14">
            <control shapeId="1048" r:id="rId21" name="Check Box 24">
              <controlPr defaultSize="0" autoFill="0" autoLine="0" autoPict="0" altText="HUP">
                <anchor moveWithCells="1">
                  <from>
                    <xdr:col>6</xdr:col>
                    <xdr:colOff>22860</xdr:colOff>
                    <xdr:row>18</xdr:row>
                    <xdr:rowOff>22860</xdr:rowOff>
                  </from>
                  <to>
                    <xdr:col>7</xdr:col>
                    <xdr:colOff>289560</xdr:colOff>
                    <xdr:row>19</xdr:row>
                    <xdr:rowOff>22860</xdr:rowOff>
                  </to>
                </anchor>
              </controlPr>
            </control>
          </mc:Choice>
        </mc:AlternateContent>
        <mc:AlternateContent xmlns:mc="http://schemas.openxmlformats.org/markup-compatibility/2006">
          <mc:Choice Requires="x14">
            <control shapeId="1049" r:id="rId22" name="Check Box 25">
              <controlPr defaultSize="0" autoFill="0" autoLine="0" autoPict="0" altText="HUP">
                <anchor moveWithCells="1">
                  <from>
                    <xdr:col>7</xdr:col>
                    <xdr:colOff>365760</xdr:colOff>
                    <xdr:row>18</xdr:row>
                    <xdr:rowOff>22860</xdr:rowOff>
                  </from>
                  <to>
                    <xdr:col>8</xdr:col>
                    <xdr:colOff>396240</xdr:colOff>
                    <xdr:row>19</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932E6-790C-4078-BC55-71947047FB63}">
  <sheetPr codeName="Sheet5">
    <tabColor theme="8" tint="-0.249977111117893"/>
    <pageSetUpPr fitToPage="1"/>
  </sheetPr>
  <dimension ref="A1:AB159"/>
  <sheetViews>
    <sheetView workbookViewId="0">
      <selection activeCell="A7" sqref="A7:B7"/>
    </sheetView>
  </sheetViews>
  <sheetFormatPr defaultRowHeight="14.4" x14ac:dyDescent="0.3"/>
  <cols>
    <col min="2" max="2" width="15" customWidth="1"/>
    <col min="3" max="3" width="10.88671875" customWidth="1"/>
    <col min="4" max="4" width="7" customWidth="1"/>
    <col min="5" max="5" width="11" customWidth="1"/>
    <col min="6" max="6" width="14.33203125" customWidth="1"/>
    <col min="7" max="7" width="7" customWidth="1"/>
    <col min="8" max="8" width="7.44140625" customWidth="1"/>
    <col min="9" max="9" width="6.44140625" customWidth="1"/>
    <col min="10" max="10" width="7.109375" customWidth="1"/>
    <col min="11" max="11" width="18.109375" customWidth="1"/>
    <col min="15" max="18" width="8.88671875" hidden="1" customWidth="1"/>
    <col min="19" max="19" width="19.109375" hidden="1" customWidth="1"/>
    <col min="20" max="24" width="8.88671875" hidden="1" customWidth="1"/>
  </cols>
  <sheetData>
    <row r="1" spans="1:28" x14ac:dyDescent="0.3">
      <c r="A1" s="489" t="s">
        <v>243</v>
      </c>
      <c r="B1" s="490"/>
      <c r="C1" s="490"/>
      <c r="D1" s="490"/>
      <c r="E1" s="490"/>
      <c r="F1" s="490"/>
      <c r="G1" s="490"/>
      <c r="H1" s="490"/>
      <c r="I1" s="490"/>
      <c r="J1" s="490"/>
      <c r="K1" s="490"/>
      <c r="L1" s="415"/>
      <c r="M1" s="415"/>
      <c r="N1" s="416"/>
      <c r="R1" t="s">
        <v>63</v>
      </c>
    </row>
    <row r="2" spans="1:28" x14ac:dyDescent="0.3">
      <c r="A2" s="491"/>
      <c r="B2" s="492"/>
      <c r="C2" s="492"/>
      <c r="D2" s="492"/>
      <c r="E2" s="492"/>
      <c r="F2" s="492"/>
      <c r="G2" s="492"/>
      <c r="H2" s="492"/>
      <c r="I2" s="492"/>
      <c r="J2" s="492"/>
      <c r="K2" s="492"/>
      <c r="L2" s="421"/>
      <c r="M2" s="421"/>
      <c r="N2" s="422"/>
      <c r="R2" t="s">
        <v>64</v>
      </c>
    </row>
    <row r="3" spans="1:28" x14ac:dyDescent="0.3">
      <c r="A3" s="493" t="s">
        <v>246</v>
      </c>
      <c r="B3" s="494"/>
      <c r="C3" s="494"/>
      <c r="D3" s="494"/>
      <c r="E3" s="494"/>
      <c r="F3" s="494"/>
      <c r="G3" s="494"/>
      <c r="H3" s="494"/>
      <c r="I3" s="494"/>
      <c r="J3" s="494"/>
      <c r="K3" s="494"/>
      <c r="L3" s="495"/>
      <c r="M3" s="495"/>
      <c r="N3" s="496"/>
    </row>
    <row r="4" spans="1:28" x14ac:dyDescent="0.3">
      <c r="A4" s="497"/>
      <c r="B4" s="498"/>
      <c r="C4" s="498"/>
      <c r="D4" s="498"/>
      <c r="E4" s="498"/>
      <c r="F4" s="498"/>
      <c r="G4" s="498"/>
      <c r="H4" s="498"/>
      <c r="I4" s="498"/>
      <c r="J4" s="498"/>
      <c r="K4" s="498"/>
      <c r="L4" s="499"/>
      <c r="M4" s="499"/>
      <c r="N4" s="500"/>
    </row>
    <row r="5" spans="1:28" x14ac:dyDescent="0.3">
      <c r="A5" s="501" t="s">
        <v>162</v>
      </c>
      <c r="B5" s="501"/>
      <c r="C5" s="486" t="s">
        <v>244</v>
      </c>
      <c r="D5" s="487"/>
      <c r="E5" s="502" t="s">
        <v>7</v>
      </c>
      <c r="F5" s="503"/>
      <c r="G5" s="502" t="s">
        <v>239</v>
      </c>
      <c r="H5" s="503"/>
      <c r="I5" s="502" t="s">
        <v>241</v>
      </c>
      <c r="J5" s="503"/>
      <c r="K5" s="511" t="s">
        <v>331</v>
      </c>
      <c r="L5" s="505" t="s">
        <v>240</v>
      </c>
      <c r="M5" s="506"/>
      <c r="N5" s="507"/>
    </row>
    <row r="6" spans="1:28" ht="25.8" customHeight="1" x14ac:dyDescent="0.3">
      <c r="A6" s="501"/>
      <c r="B6" s="501"/>
      <c r="C6" s="488"/>
      <c r="D6" s="488"/>
      <c r="E6" s="504"/>
      <c r="F6" s="504"/>
      <c r="G6" s="504"/>
      <c r="H6" s="504"/>
      <c r="I6" s="504"/>
      <c r="J6" s="504"/>
      <c r="K6" s="512"/>
      <c r="L6" s="508"/>
      <c r="M6" s="509"/>
      <c r="N6" s="510"/>
    </row>
    <row r="7" spans="1:28" ht="28.05" customHeight="1" x14ac:dyDescent="0.3">
      <c r="A7" s="513"/>
      <c r="B7" s="514"/>
      <c r="C7" s="523"/>
      <c r="D7" s="524"/>
      <c r="E7" s="525"/>
      <c r="F7" s="526"/>
      <c r="G7" s="523"/>
      <c r="H7" s="524"/>
      <c r="I7" s="523"/>
      <c r="J7" s="524"/>
      <c r="K7" s="366"/>
      <c r="L7" s="537" t="str">
        <f>IF(OR(A7="",G7="",I7="",C7="",K7=""),"",IF(Q7=0,"Medication WILL NOT be dispensed by IDS","Medication WILL be dispensed by IDS"))</f>
        <v/>
      </c>
      <c r="M7" s="538"/>
      <c r="N7" s="539"/>
      <c r="O7" t="str">
        <f>IF(A7="","",IF(G7="No",1,0))</f>
        <v/>
      </c>
      <c r="P7" t="str">
        <f>IF(A7="","",IF(I7="Yes",1,0))</f>
        <v/>
      </c>
      <c r="Q7">
        <f>IF(A7="",0,O7+P7+V7+W7)</f>
        <v>0</v>
      </c>
      <c r="R7">
        <f>IF(A7="",0,IF(Q7&gt;0,1,""))</f>
        <v>0</v>
      </c>
      <c r="S7" t="str">
        <f>IF(R7="","",IF(R7&gt;0,A7,""))</f>
        <v/>
      </c>
      <c r="T7" t="str">
        <f>IF(R7="","",IF(R7&gt;0,C7,""))</f>
        <v/>
      </c>
      <c r="U7" s="12" t="str">
        <f>IF(R7="","",IF(R7&gt;0,E7,""))</f>
        <v/>
      </c>
      <c r="V7">
        <f>IF(C7="Yes",1,0)</f>
        <v>0</v>
      </c>
      <c r="W7" t="str">
        <f>IF(A7="","",IF(K7="Yes",1,0))</f>
        <v/>
      </c>
      <c r="X7">
        <f>IF(I7="",0,IF(AND(I7="Yes",C7="No"),1,0))</f>
        <v>0</v>
      </c>
    </row>
    <row r="8" spans="1:28" ht="28.05" customHeight="1" x14ac:dyDescent="0.3">
      <c r="A8" s="513"/>
      <c r="B8" s="514"/>
      <c r="C8" s="519"/>
      <c r="D8" s="520"/>
      <c r="E8" s="517"/>
      <c r="F8" s="518"/>
      <c r="G8" s="519"/>
      <c r="H8" s="520"/>
      <c r="I8" s="519"/>
      <c r="J8" s="520"/>
      <c r="K8" s="355"/>
      <c r="L8" s="531" t="str">
        <f>IF(OR(A8="",G8="",I8="",C8="",K8=""),"",IF(Q8=0,"Medication WILL NOT be dispensed by IDS","Medication WILL be dispensed by IDS"))</f>
        <v/>
      </c>
      <c r="M8" s="532"/>
      <c r="N8" s="533"/>
      <c r="O8" t="str">
        <f t="shared" ref="O8:O15" si="0">IF(A8="","",IF(G8="No",1,0))</f>
        <v/>
      </c>
      <c r="P8" t="str">
        <f t="shared" ref="P8:P15" si="1">IF(A8="","",IF(I8="Yes",1,0))</f>
        <v/>
      </c>
      <c r="Q8">
        <f t="shared" ref="Q8:Q15" si="2">IF(A8="",0,O8+P8+V8+W8)</f>
        <v>0</v>
      </c>
      <c r="R8">
        <f>IF(A8="",0,IF(Q8&gt;0,R7+1,""))</f>
        <v>0</v>
      </c>
      <c r="S8" t="str">
        <f t="shared" ref="S8:S15" si="3">IF(R8="","",IF(R8&gt;0,A8,""))</f>
        <v/>
      </c>
      <c r="T8" t="str">
        <f t="shared" ref="T8:T15" si="4">IF(R8="","",IF(R8&gt;0,C8,""))</f>
        <v/>
      </c>
      <c r="U8" s="12" t="str">
        <f t="shared" ref="U8:U15" si="5">IF(R8="","",IF(R8&gt;0,E8,""))</f>
        <v/>
      </c>
      <c r="V8">
        <f t="shared" ref="V8:V15" si="6">IF(C8="Yes",1,0)</f>
        <v>0</v>
      </c>
      <c r="W8" t="str">
        <f t="shared" ref="W8:W15" si="7">IF(A8="","",IF(K8="Yes",1,0))</f>
        <v/>
      </c>
      <c r="X8">
        <f t="shared" ref="X8:X15" si="8">IF(I8="",0,IF(AND(I8="Yes",C8="No"),1,0))</f>
        <v>0</v>
      </c>
    </row>
    <row r="9" spans="1:28" ht="28.05" customHeight="1" x14ac:dyDescent="0.3">
      <c r="A9" s="513"/>
      <c r="B9" s="514"/>
      <c r="C9" s="519"/>
      <c r="D9" s="520"/>
      <c r="E9" s="517"/>
      <c r="F9" s="518"/>
      <c r="G9" s="519"/>
      <c r="H9" s="520"/>
      <c r="I9" s="519"/>
      <c r="J9" s="520"/>
      <c r="K9" s="355"/>
      <c r="L9" s="531" t="str">
        <f t="shared" ref="L9:L15" si="9">IF(OR(A9="",G9="",I9="",C9="",K9=""),"",IF(Q9=0,"Medication WILL NOT be dispensed by IDS","Medication WILL be dispensed by IDS"))</f>
        <v/>
      </c>
      <c r="M9" s="532"/>
      <c r="N9" s="533"/>
      <c r="O9" t="str">
        <f t="shared" si="0"/>
        <v/>
      </c>
      <c r="P9" t="str">
        <f t="shared" si="1"/>
        <v/>
      </c>
      <c r="Q9">
        <f t="shared" si="2"/>
        <v>0</v>
      </c>
      <c r="R9" t="str">
        <f>IF(A9="","",IF(Q9&gt;0,1+MAX(R7:R8),""))</f>
        <v/>
      </c>
      <c r="S9" t="str">
        <f t="shared" si="3"/>
        <v/>
      </c>
      <c r="T9" t="str">
        <f t="shared" si="4"/>
        <v/>
      </c>
      <c r="U9" s="12" t="str">
        <f t="shared" si="5"/>
        <v/>
      </c>
      <c r="V9">
        <f t="shared" si="6"/>
        <v>0</v>
      </c>
      <c r="W9" t="str">
        <f t="shared" si="7"/>
        <v/>
      </c>
      <c r="X9">
        <f t="shared" si="8"/>
        <v>0</v>
      </c>
    </row>
    <row r="10" spans="1:28" ht="28.05" customHeight="1" x14ac:dyDescent="0.3">
      <c r="A10" s="513"/>
      <c r="B10" s="514"/>
      <c r="C10" s="519"/>
      <c r="D10" s="520"/>
      <c r="E10" s="517"/>
      <c r="F10" s="518"/>
      <c r="G10" s="519"/>
      <c r="H10" s="520"/>
      <c r="I10" s="519"/>
      <c r="J10" s="520"/>
      <c r="K10" s="355"/>
      <c r="L10" s="531" t="str">
        <f t="shared" si="9"/>
        <v/>
      </c>
      <c r="M10" s="532"/>
      <c r="N10" s="533"/>
      <c r="O10" t="str">
        <f t="shared" si="0"/>
        <v/>
      </c>
      <c r="P10" t="str">
        <f t="shared" si="1"/>
        <v/>
      </c>
      <c r="Q10">
        <f t="shared" si="2"/>
        <v>0</v>
      </c>
      <c r="R10" t="str">
        <f>IF(A10="","",IF(Q10&gt;0,1+MAX(R7:R9),""))</f>
        <v/>
      </c>
      <c r="S10" t="str">
        <f t="shared" si="3"/>
        <v/>
      </c>
      <c r="T10" t="str">
        <f t="shared" si="4"/>
        <v/>
      </c>
      <c r="U10" s="12" t="str">
        <f t="shared" si="5"/>
        <v/>
      </c>
      <c r="V10">
        <f t="shared" si="6"/>
        <v>0</v>
      </c>
      <c r="W10" t="str">
        <f t="shared" si="7"/>
        <v/>
      </c>
      <c r="X10">
        <f t="shared" si="8"/>
        <v>0</v>
      </c>
    </row>
    <row r="11" spans="1:28" ht="28.05" customHeight="1" x14ac:dyDescent="0.3">
      <c r="A11" s="513"/>
      <c r="B11" s="514"/>
      <c r="C11" s="519"/>
      <c r="D11" s="520"/>
      <c r="E11" s="517"/>
      <c r="F11" s="518"/>
      <c r="G11" s="519"/>
      <c r="H11" s="520"/>
      <c r="I11" s="519"/>
      <c r="J11" s="520"/>
      <c r="K11" s="355"/>
      <c r="L11" s="531" t="str">
        <f t="shared" si="9"/>
        <v/>
      </c>
      <c r="M11" s="532"/>
      <c r="N11" s="533"/>
      <c r="O11" t="str">
        <f t="shared" si="0"/>
        <v/>
      </c>
      <c r="P11" t="str">
        <f t="shared" si="1"/>
        <v/>
      </c>
      <c r="Q11">
        <f t="shared" si="2"/>
        <v>0</v>
      </c>
      <c r="R11" t="str">
        <f>IF(A11="","",IF(Q11&gt;0,1+MAX(R7:R10),""))</f>
        <v/>
      </c>
      <c r="S11" t="str">
        <f t="shared" si="3"/>
        <v/>
      </c>
      <c r="T11" t="str">
        <f t="shared" si="4"/>
        <v/>
      </c>
      <c r="U11" s="12" t="str">
        <f t="shared" si="5"/>
        <v/>
      </c>
      <c r="V11">
        <f t="shared" si="6"/>
        <v>0</v>
      </c>
      <c r="W11" t="str">
        <f t="shared" si="7"/>
        <v/>
      </c>
      <c r="X11">
        <f t="shared" si="8"/>
        <v>0</v>
      </c>
    </row>
    <row r="12" spans="1:28" ht="28.05" customHeight="1" x14ac:dyDescent="0.3">
      <c r="A12" s="513"/>
      <c r="B12" s="514"/>
      <c r="C12" s="519"/>
      <c r="D12" s="520"/>
      <c r="E12" s="517"/>
      <c r="F12" s="518"/>
      <c r="G12" s="519"/>
      <c r="H12" s="520"/>
      <c r="I12" s="519"/>
      <c r="J12" s="520"/>
      <c r="K12" s="355"/>
      <c r="L12" s="531" t="str">
        <f t="shared" si="9"/>
        <v/>
      </c>
      <c r="M12" s="532"/>
      <c r="N12" s="533"/>
      <c r="O12" t="str">
        <f t="shared" si="0"/>
        <v/>
      </c>
      <c r="P12" t="str">
        <f t="shared" si="1"/>
        <v/>
      </c>
      <c r="Q12">
        <f t="shared" si="2"/>
        <v>0</v>
      </c>
      <c r="R12" t="str">
        <f>IF(A12="","",IF(Q12&gt;0,1+MAX(R7:R11),""))</f>
        <v/>
      </c>
      <c r="S12" t="str">
        <f t="shared" si="3"/>
        <v/>
      </c>
      <c r="T12" t="str">
        <f t="shared" si="4"/>
        <v/>
      </c>
      <c r="U12" s="12" t="str">
        <f t="shared" si="5"/>
        <v/>
      </c>
      <c r="V12">
        <f t="shared" si="6"/>
        <v>0</v>
      </c>
      <c r="W12" t="str">
        <f t="shared" si="7"/>
        <v/>
      </c>
      <c r="X12">
        <f t="shared" si="8"/>
        <v>0</v>
      </c>
      <c r="AB12" s="12"/>
    </row>
    <row r="13" spans="1:28" ht="28.05" customHeight="1" x14ac:dyDescent="0.3">
      <c r="A13" s="513"/>
      <c r="B13" s="514"/>
      <c r="C13" s="519"/>
      <c r="D13" s="520"/>
      <c r="E13" s="517"/>
      <c r="F13" s="518"/>
      <c r="G13" s="519"/>
      <c r="H13" s="520"/>
      <c r="I13" s="519"/>
      <c r="J13" s="520"/>
      <c r="K13" s="355"/>
      <c r="L13" s="531" t="str">
        <f t="shared" si="9"/>
        <v/>
      </c>
      <c r="M13" s="532"/>
      <c r="N13" s="533"/>
      <c r="O13" t="str">
        <f t="shared" si="0"/>
        <v/>
      </c>
      <c r="P13" t="str">
        <f t="shared" si="1"/>
        <v/>
      </c>
      <c r="Q13">
        <f t="shared" si="2"/>
        <v>0</v>
      </c>
      <c r="R13" t="str">
        <f>IF(A13="","",IF(Q13&gt;0,1+MAX(R7:R12),""))</f>
        <v/>
      </c>
      <c r="S13" t="str">
        <f t="shared" si="3"/>
        <v/>
      </c>
      <c r="T13" t="str">
        <f t="shared" si="4"/>
        <v/>
      </c>
      <c r="U13" s="12" t="str">
        <f t="shared" si="5"/>
        <v/>
      </c>
      <c r="V13">
        <f t="shared" si="6"/>
        <v>0</v>
      </c>
      <c r="W13" t="str">
        <f t="shared" si="7"/>
        <v/>
      </c>
      <c r="X13">
        <f t="shared" si="8"/>
        <v>0</v>
      </c>
    </row>
    <row r="14" spans="1:28" ht="28.05" customHeight="1" x14ac:dyDescent="0.3">
      <c r="A14" s="513"/>
      <c r="B14" s="514"/>
      <c r="C14" s="519"/>
      <c r="D14" s="520"/>
      <c r="E14" s="517"/>
      <c r="F14" s="518"/>
      <c r="G14" s="519"/>
      <c r="H14" s="520"/>
      <c r="I14" s="529"/>
      <c r="J14" s="520"/>
      <c r="K14" s="355"/>
      <c r="L14" s="531" t="str">
        <f t="shared" si="9"/>
        <v/>
      </c>
      <c r="M14" s="532"/>
      <c r="N14" s="533"/>
      <c r="O14" t="str">
        <f t="shared" si="0"/>
        <v/>
      </c>
      <c r="P14" t="str">
        <f t="shared" si="1"/>
        <v/>
      </c>
      <c r="Q14">
        <f t="shared" si="2"/>
        <v>0</v>
      </c>
      <c r="R14" t="str">
        <f>IF(A14="","",IF(Q14&gt;0,1+MAX(R7:R13),""))</f>
        <v/>
      </c>
      <c r="S14" t="str">
        <f t="shared" si="3"/>
        <v/>
      </c>
      <c r="T14" t="str">
        <f t="shared" si="4"/>
        <v/>
      </c>
      <c r="U14" s="12" t="str">
        <f t="shared" si="5"/>
        <v/>
      </c>
      <c r="V14">
        <f t="shared" si="6"/>
        <v>0</v>
      </c>
      <c r="W14" t="str">
        <f t="shared" si="7"/>
        <v/>
      </c>
      <c r="X14">
        <f t="shared" si="8"/>
        <v>0</v>
      </c>
    </row>
    <row r="15" spans="1:28" ht="28.05" customHeight="1" x14ac:dyDescent="0.3">
      <c r="A15" s="515"/>
      <c r="B15" s="516"/>
      <c r="C15" s="521"/>
      <c r="D15" s="522"/>
      <c r="E15" s="527"/>
      <c r="F15" s="528"/>
      <c r="G15" s="521"/>
      <c r="H15" s="522"/>
      <c r="I15" s="530"/>
      <c r="J15" s="522"/>
      <c r="K15" s="356"/>
      <c r="L15" s="534" t="str">
        <f t="shared" si="9"/>
        <v/>
      </c>
      <c r="M15" s="535"/>
      <c r="N15" s="536"/>
      <c r="O15" t="str">
        <f t="shared" si="0"/>
        <v/>
      </c>
      <c r="P15" t="str">
        <f t="shared" si="1"/>
        <v/>
      </c>
      <c r="Q15">
        <f t="shared" si="2"/>
        <v>0</v>
      </c>
      <c r="R15" t="str">
        <f>IF(A15="","",IF(Q15&gt;0,1+MAX(R7:R14),""))</f>
        <v/>
      </c>
      <c r="S15" t="str">
        <f t="shared" si="3"/>
        <v/>
      </c>
      <c r="T15" t="str">
        <f t="shared" si="4"/>
        <v/>
      </c>
      <c r="U15" s="12" t="str">
        <f t="shared" si="5"/>
        <v/>
      </c>
      <c r="V15">
        <f t="shared" si="6"/>
        <v>0</v>
      </c>
      <c r="W15" t="str">
        <f t="shared" si="7"/>
        <v/>
      </c>
      <c r="X15">
        <f t="shared" si="8"/>
        <v>0</v>
      </c>
    </row>
    <row r="16" spans="1:28" ht="25.2" customHeight="1" x14ac:dyDescent="0.3">
      <c r="A16" s="7"/>
      <c r="B16" s="7"/>
      <c r="C16" s="7"/>
      <c r="D16" s="7"/>
      <c r="E16" s="7"/>
      <c r="F16" s="7"/>
      <c r="G16" s="7"/>
      <c r="H16" s="7"/>
      <c r="I16" s="7"/>
      <c r="J16" s="7"/>
      <c r="K16" s="7"/>
      <c r="L16" s="7"/>
      <c r="M16" s="7"/>
      <c r="N16" s="7"/>
      <c r="O16" s="7"/>
      <c r="P16" s="7"/>
      <c r="Q16" s="7"/>
      <c r="R16" s="7"/>
      <c r="S16" s="7"/>
      <c r="T16" s="7"/>
      <c r="X16">
        <f>SUM(X7:X15)</f>
        <v>0</v>
      </c>
    </row>
    <row r="17" spans="1:20" ht="25.2" customHeight="1" x14ac:dyDescent="0.3">
      <c r="A17" s="7"/>
      <c r="B17" s="7"/>
      <c r="C17" s="7"/>
      <c r="D17" s="7"/>
      <c r="E17" s="7"/>
      <c r="F17" s="7"/>
      <c r="G17" s="7"/>
      <c r="H17" s="7"/>
      <c r="I17" s="7"/>
      <c r="J17" s="7"/>
      <c r="K17" s="7"/>
      <c r="L17" s="7"/>
      <c r="M17" s="7"/>
      <c r="N17" s="7"/>
      <c r="O17" s="7"/>
      <c r="P17" s="7"/>
      <c r="Q17" s="7"/>
      <c r="R17" s="7"/>
      <c r="S17" s="7"/>
      <c r="T17" s="7"/>
    </row>
    <row r="18" spans="1:20" ht="25.2" customHeight="1" x14ac:dyDescent="0.3">
      <c r="A18" s="7"/>
      <c r="B18" s="7"/>
      <c r="C18" s="7"/>
      <c r="D18" s="7"/>
      <c r="E18" s="7"/>
      <c r="F18" s="7"/>
      <c r="G18" s="7"/>
      <c r="H18" s="7"/>
      <c r="I18" s="7"/>
      <c r="J18" s="7"/>
      <c r="K18" s="7"/>
      <c r="L18" s="7"/>
      <c r="M18" s="7"/>
      <c r="N18" s="7"/>
      <c r="O18" s="7"/>
      <c r="P18" s="7"/>
      <c r="Q18" s="7"/>
      <c r="R18" s="7"/>
      <c r="S18" s="7"/>
      <c r="T18" s="7"/>
    </row>
    <row r="19" spans="1:20" ht="25.2" customHeight="1" x14ac:dyDescent="0.3">
      <c r="A19" s="7"/>
      <c r="B19" s="7"/>
      <c r="C19" s="7"/>
      <c r="D19" s="7"/>
      <c r="E19" s="7"/>
      <c r="F19" s="7"/>
      <c r="G19" s="7"/>
      <c r="H19" s="7"/>
      <c r="I19" s="7"/>
      <c r="J19" s="7"/>
      <c r="K19" s="7"/>
      <c r="L19" s="7"/>
      <c r="M19" s="7"/>
      <c r="N19" s="7"/>
      <c r="O19" s="7"/>
      <c r="P19" s="7"/>
      <c r="Q19" s="7"/>
      <c r="R19" s="7"/>
      <c r="S19" s="7"/>
      <c r="T19" s="7"/>
    </row>
    <row r="20" spans="1:20" ht="25.2" customHeight="1" x14ac:dyDescent="0.3">
      <c r="A20" s="7"/>
      <c r="B20" s="7"/>
      <c r="C20" s="7"/>
      <c r="D20" s="7"/>
      <c r="E20" s="7"/>
      <c r="F20" s="7"/>
      <c r="G20" s="7"/>
      <c r="H20" s="7"/>
      <c r="I20" s="7"/>
      <c r="J20" s="7"/>
      <c r="K20" s="7"/>
      <c r="L20" s="7"/>
      <c r="M20" s="7"/>
      <c r="N20" s="7"/>
      <c r="O20" s="7"/>
      <c r="P20" s="7"/>
      <c r="Q20" s="7"/>
      <c r="R20" s="7"/>
      <c r="S20" s="7"/>
      <c r="T20" s="7"/>
    </row>
    <row r="21" spans="1:20" ht="25.2" customHeight="1" x14ac:dyDescent="0.3">
      <c r="A21" s="7"/>
      <c r="B21" s="7"/>
      <c r="C21" s="7"/>
      <c r="D21" s="7"/>
      <c r="E21" s="7"/>
      <c r="F21" s="7"/>
      <c r="G21" s="7"/>
      <c r="H21" s="7"/>
      <c r="I21" s="7"/>
      <c r="J21" s="7"/>
      <c r="K21" s="7"/>
      <c r="L21" s="7"/>
      <c r="M21" s="7"/>
      <c r="N21" s="7"/>
      <c r="O21" s="7"/>
      <c r="P21" s="7"/>
      <c r="Q21" s="7"/>
      <c r="R21" s="7"/>
      <c r="S21" s="7"/>
      <c r="T21" s="7"/>
    </row>
    <row r="22" spans="1:20" ht="25.2" customHeight="1" x14ac:dyDescent="0.3">
      <c r="A22" s="7"/>
      <c r="B22" s="7"/>
      <c r="C22" s="7"/>
      <c r="D22" s="7"/>
      <c r="E22" s="7"/>
      <c r="F22" s="7"/>
      <c r="G22" s="7"/>
      <c r="H22" s="7"/>
      <c r="I22" s="7"/>
      <c r="J22" s="7"/>
      <c r="K22" s="7"/>
      <c r="L22" s="7"/>
      <c r="M22" s="7"/>
      <c r="N22" s="7"/>
      <c r="O22" s="7"/>
      <c r="P22" s="7"/>
      <c r="Q22" s="7"/>
      <c r="R22" s="7"/>
      <c r="S22" s="7"/>
      <c r="T22" s="7"/>
    </row>
    <row r="23" spans="1:20" ht="25.2" customHeight="1" x14ac:dyDescent="0.3">
      <c r="A23" s="7"/>
      <c r="B23" s="7"/>
      <c r="C23" s="7"/>
      <c r="D23" s="7"/>
      <c r="E23" s="7"/>
      <c r="F23" s="7"/>
      <c r="G23" s="7"/>
      <c r="H23" s="7"/>
      <c r="I23" s="7"/>
      <c r="J23" s="7"/>
      <c r="K23" s="7"/>
      <c r="L23" s="7"/>
      <c r="M23" s="7"/>
      <c r="N23" s="7"/>
      <c r="O23" s="7"/>
      <c r="P23" s="7"/>
      <c r="Q23" s="7"/>
      <c r="R23" s="7"/>
      <c r="S23" s="7"/>
      <c r="T23" s="7"/>
    </row>
    <row r="24" spans="1:20" ht="25.2" customHeight="1" x14ac:dyDescent="0.3">
      <c r="A24" s="7"/>
      <c r="B24" s="7"/>
      <c r="C24" s="7"/>
      <c r="D24" s="7"/>
      <c r="E24" s="7"/>
      <c r="F24" s="7"/>
      <c r="G24" s="7"/>
      <c r="H24" s="7"/>
      <c r="I24" s="7"/>
      <c r="J24" s="7"/>
      <c r="K24" s="7"/>
      <c r="L24" s="7"/>
      <c r="M24" s="7"/>
      <c r="N24" s="7"/>
      <c r="O24" s="7"/>
      <c r="P24" s="7"/>
      <c r="Q24" s="7"/>
      <c r="R24" s="7"/>
      <c r="S24" s="7"/>
      <c r="T24" s="7"/>
    </row>
    <row r="25" spans="1:20" ht="25.2" customHeight="1" x14ac:dyDescent="0.3">
      <c r="A25" s="7"/>
      <c r="B25" s="7"/>
      <c r="C25" s="7"/>
      <c r="D25" s="7"/>
      <c r="E25" s="7"/>
      <c r="F25" s="7"/>
      <c r="G25" s="7"/>
      <c r="H25" s="7"/>
      <c r="I25" s="7"/>
      <c r="J25" s="7"/>
      <c r="K25" s="7"/>
      <c r="L25" s="7"/>
      <c r="M25" s="7"/>
      <c r="N25" s="7"/>
      <c r="O25" s="7"/>
      <c r="P25" s="7"/>
      <c r="Q25" s="7"/>
      <c r="R25" s="7"/>
      <c r="S25" s="7"/>
      <c r="T25" s="7"/>
    </row>
    <row r="26" spans="1:20" ht="25.2" customHeight="1" x14ac:dyDescent="0.3">
      <c r="A26" s="7"/>
      <c r="B26" s="7"/>
      <c r="C26" s="7"/>
      <c r="D26" s="7"/>
      <c r="E26" s="7"/>
      <c r="F26" s="7"/>
      <c r="G26" s="7"/>
      <c r="H26" s="7"/>
      <c r="I26" s="7"/>
      <c r="J26" s="7"/>
      <c r="K26" s="7"/>
      <c r="L26" s="7"/>
      <c r="M26" s="7"/>
      <c r="N26" s="7"/>
      <c r="O26" s="7"/>
      <c r="P26" s="7"/>
      <c r="Q26" s="7"/>
      <c r="R26" s="7"/>
      <c r="S26" s="7"/>
      <c r="T26" s="7"/>
    </row>
    <row r="27" spans="1:20" x14ac:dyDescent="0.3">
      <c r="A27" s="7"/>
      <c r="B27" s="7"/>
      <c r="C27" s="7"/>
      <c r="D27" s="7"/>
      <c r="E27" s="7"/>
      <c r="F27" s="7"/>
      <c r="G27" s="7"/>
      <c r="H27" s="7"/>
      <c r="I27" s="7"/>
      <c r="J27" s="7"/>
      <c r="K27" s="7"/>
      <c r="L27" s="7"/>
      <c r="M27" s="7"/>
      <c r="N27" s="7"/>
      <c r="O27" s="7"/>
      <c r="P27" s="7"/>
      <c r="Q27" s="7"/>
      <c r="R27" s="7"/>
      <c r="S27" s="7"/>
      <c r="T27" s="7"/>
    </row>
    <row r="28" spans="1:20" x14ac:dyDescent="0.3">
      <c r="A28" s="7"/>
      <c r="B28" s="7"/>
      <c r="C28" s="7"/>
      <c r="D28" s="7"/>
      <c r="E28" s="7"/>
      <c r="F28" s="7"/>
      <c r="G28" s="7"/>
      <c r="H28" s="7"/>
      <c r="I28" s="7"/>
      <c r="J28" s="7"/>
      <c r="K28" s="7"/>
      <c r="L28" s="7"/>
      <c r="M28" s="7"/>
      <c r="N28" s="7"/>
      <c r="O28" s="7"/>
      <c r="P28" s="7"/>
      <c r="Q28" s="7"/>
      <c r="R28" s="7"/>
      <c r="S28" s="7"/>
      <c r="T28" s="7"/>
    </row>
    <row r="29" spans="1:20" x14ac:dyDescent="0.3">
      <c r="A29" s="7"/>
      <c r="B29" s="7"/>
      <c r="C29" s="7"/>
      <c r="D29" s="7"/>
      <c r="E29" s="7"/>
      <c r="F29" s="7"/>
      <c r="G29" s="7"/>
      <c r="H29" s="7"/>
      <c r="I29" s="7"/>
      <c r="J29" s="7"/>
      <c r="K29" s="7"/>
      <c r="L29" s="7"/>
      <c r="M29" s="7"/>
      <c r="N29" s="7"/>
      <c r="O29" s="7"/>
      <c r="P29" s="7"/>
      <c r="Q29" s="7"/>
      <c r="R29" s="7"/>
      <c r="S29" s="7"/>
      <c r="T29" s="7"/>
    </row>
    <row r="30" spans="1:20" x14ac:dyDescent="0.3">
      <c r="A30" s="7"/>
      <c r="B30" s="7"/>
      <c r="C30" s="7"/>
      <c r="D30" s="7"/>
      <c r="E30" s="7"/>
      <c r="F30" s="7"/>
      <c r="G30" s="7"/>
      <c r="H30" s="7"/>
      <c r="I30" s="7"/>
      <c r="J30" s="7"/>
      <c r="K30" s="7"/>
      <c r="L30" s="7"/>
      <c r="M30" s="7"/>
      <c r="N30" s="7"/>
      <c r="O30" s="7"/>
      <c r="P30" s="7"/>
      <c r="Q30" s="7"/>
      <c r="R30" s="7"/>
      <c r="S30" s="7"/>
      <c r="T30" s="7"/>
    </row>
    <row r="31" spans="1:20" x14ac:dyDescent="0.3">
      <c r="A31" s="7"/>
      <c r="B31" s="7"/>
      <c r="C31" s="7"/>
      <c r="D31" s="7"/>
      <c r="E31" s="7"/>
      <c r="F31" s="7"/>
      <c r="G31" s="7"/>
      <c r="H31" s="7"/>
      <c r="I31" s="7"/>
      <c r="J31" s="7"/>
      <c r="K31" s="7"/>
      <c r="L31" s="7"/>
      <c r="M31" s="7"/>
      <c r="N31" s="7"/>
      <c r="O31" s="7"/>
      <c r="P31" s="7"/>
      <c r="Q31" s="7"/>
      <c r="R31" s="7"/>
      <c r="S31" s="7"/>
      <c r="T31" s="7"/>
    </row>
    <row r="32" spans="1:20" x14ac:dyDescent="0.3">
      <c r="A32" s="7"/>
      <c r="B32" s="7"/>
      <c r="C32" s="7"/>
      <c r="D32" s="7"/>
      <c r="E32" s="7"/>
      <c r="F32" s="7"/>
      <c r="G32" s="7"/>
      <c r="H32" s="7"/>
      <c r="I32" s="7"/>
      <c r="J32" s="7"/>
      <c r="K32" s="7"/>
      <c r="L32" s="7"/>
      <c r="M32" s="7"/>
      <c r="N32" s="7"/>
      <c r="O32" s="7"/>
      <c r="P32" s="7"/>
      <c r="Q32" s="7"/>
      <c r="R32" s="7"/>
      <c r="S32" s="7"/>
      <c r="T32" s="7"/>
    </row>
    <row r="33" spans="1:20" x14ac:dyDescent="0.3">
      <c r="A33" s="7"/>
      <c r="B33" s="7"/>
      <c r="C33" s="7"/>
      <c r="D33" s="7"/>
      <c r="E33" s="7"/>
      <c r="F33" s="7"/>
      <c r="G33" s="7"/>
      <c r="H33" s="7"/>
      <c r="I33" s="7"/>
      <c r="J33" s="7"/>
      <c r="K33" s="7"/>
      <c r="L33" s="7"/>
      <c r="M33" s="7"/>
      <c r="N33" s="7"/>
      <c r="O33" s="7"/>
      <c r="P33" s="7"/>
      <c r="Q33" s="7"/>
      <c r="R33" s="7"/>
      <c r="S33" s="7"/>
      <c r="T33" s="7"/>
    </row>
    <row r="34" spans="1:20" x14ac:dyDescent="0.3">
      <c r="A34" s="7"/>
      <c r="B34" s="7"/>
      <c r="C34" s="7"/>
      <c r="D34" s="7"/>
      <c r="E34" s="7"/>
      <c r="F34" s="7"/>
      <c r="G34" s="7"/>
      <c r="H34" s="7"/>
      <c r="I34" s="7"/>
      <c r="J34" s="7"/>
      <c r="K34" s="7"/>
      <c r="L34" s="7"/>
      <c r="M34" s="7"/>
      <c r="N34" s="7"/>
      <c r="O34" s="7"/>
      <c r="P34" s="7"/>
      <c r="Q34" s="7"/>
      <c r="R34" s="7"/>
      <c r="S34" s="7"/>
      <c r="T34" s="7"/>
    </row>
    <row r="35" spans="1:20" x14ac:dyDescent="0.3">
      <c r="A35" s="7"/>
      <c r="B35" s="7"/>
      <c r="C35" s="7"/>
      <c r="D35" s="7"/>
      <c r="E35" s="7"/>
      <c r="F35" s="7"/>
      <c r="G35" s="7"/>
      <c r="H35" s="7"/>
      <c r="I35" s="7"/>
      <c r="J35" s="7"/>
      <c r="K35" s="7"/>
      <c r="L35" s="7"/>
      <c r="M35" s="7"/>
      <c r="N35" s="7"/>
      <c r="O35" s="7"/>
      <c r="P35" s="7"/>
      <c r="Q35" s="7"/>
      <c r="R35" s="7"/>
      <c r="S35" s="7"/>
      <c r="T35" s="7"/>
    </row>
    <row r="36" spans="1:20" x14ac:dyDescent="0.3">
      <c r="A36" s="7"/>
      <c r="B36" s="7"/>
      <c r="C36" s="7"/>
      <c r="D36" s="7"/>
      <c r="E36" s="7"/>
      <c r="F36" s="7"/>
      <c r="G36" s="7"/>
      <c r="H36" s="7"/>
      <c r="I36" s="7"/>
      <c r="J36" s="7"/>
      <c r="K36" s="7"/>
      <c r="L36" s="7"/>
      <c r="M36" s="7"/>
      <c r="N36" s="7"/>
      <c r="O36" s="7"/>
      <c r="P36" s="7"/>
      <c r="Q36" s="7"/>
      <c r="R36" s="7"/>
      <c r="S36" s="7"/>
      <c r="T36" s="7"/>
    </row>
    <row r="37" spans="1:20" x14ac:dyDescent="0.3">
      <c r="A37" s="7"/>
      <c r="B37" s="7"/>
      <c r="C37" s="7"/>
      <c r="D37" s="7"/>
      <c r="E37" s="7"/>
      <c r="F37" s="7"/>
      <c r="G37" s="7"/>
      <c r="H37" s="7"/>
      <c r="I37" s="7"/>
      <c r="J37" s="7"/>
      <c r="K37" s="7"/>
      <c r="L37" s="7"/>
      <c r="M37" s="7"/>
      <c r="N37" s="7"/>
      <c r="O37" s="7"/>
      <c r="P37" s="7"/>
      <c r="Q37" s="7"/>
      <c r="R37" s="7"/>
      <c r="S37" s="7"/>
      <c r="T37" s="7"/>
    </row>
    <row r="38" spans="1:20" x14ac:dyDescent="0.3">
      <c r="A38" s="7"/>
      <c r="B38" s="7"/>
      <c r="C38" s="7"/>
      <c r="D38" s="7"/>
      <c r="E38" s="7"/>
      <c r="F38" s="7"/>
      <c r="G38" s="7"/>
      <c r="H38" s="7"/>
      <c r="I38" s="7"/>
      <c r="J38" s="7"/>
      <c r="K38" s="7"/>
      <c r="L38" s="7"/>
      <c r="M38" s="7"/>
      <c r="N38" s="7"/>
      <c r="O38" s="7"/>
      <c r="P38" s="7"/>
      <c r="Q38" s="7"/>
      <c r="R38" s="7"/>
      <c r="S38" s="7"/>
      <c r="T38" s="7"/>
    </row>
    <row r="39" spans="1:20" x14ac:dyDescent="0.3">
      <c r="A39" s="7"/>
      <c r="B39" s="7"/>
      <c r="C39" s="7"/>
      <c r="D39" s="7"/>
      <c r="E39" s="7"/>
      <c r="F39" s="7"/>
      <c r="G39" s="7"/>
      <c r="H39" s="7"/>
      <c r="I39" s="7"/>
      <c r="J39" s="7"/>
      <c r="K39" s="7"/>
      <c r="L39" s="7"/>
      <c r="M39" s="7"/>
      <c r="N39" s="7"/>
      <c r="O39" s="7"/>
      <c r="P39" s="7"/>
      <c r="Q39" s="7"/>
      <c r="R39" s="7"/>
      <c r="S39" s="7"/>
      <c r="T39" s="7"/>
    </row>
    <row r="40" spans="1:20" x14ac:dyDescent="0.3">
      <c r="A40" s="7"/>
      <c r="B40" s="7"/>
      <c r="C40" s="7"/>
      <c r="D40" s="7"/>
      <c r="E40" s="7"/>
      <c r="F40" s="7"/>
      <c r="G40" s="7"/>
      <c r="H40" s="7"/>
      <c r="I40" s="7"/>
      <c r="J40" s="7"/>
      <c r="K40" s="7"/>
      <c r="L40" s="7"/>
      <c r="M40" s="7"/>
      <c r="N40" s="7"/>
      <c r="O40" s="7"/>
      <c r="P40" s="7"/>
      <c r="Q40" s="7"/>
      <c r="R40" s="7"/>
      <c r="S40" s="7"/>
      <c r="T40" s="7"/>
    </row>
    <row r="41" spans="1:20" x14ac:dyDescent="0.3">
      <c r="A41" s="7"/>
      <c r="B41" s="7"/>
      <c r="C41" s="7"/>
      <c r="D41" s="7"/>
      <c r="E41" s="7"/>
      <c r="F41" s="7"/>
      <c r="G41" s="7"/>
      <c r="H41" s="7"/>
      <c r="I41" s="7"/>
      <c r="J41" s="7"/>
      <c r="K41" s="7"/>
      <c r="L41" s="7"/>
      <c r="M41" s="7"/>
      <c r="N41" s="7"/>
      <c r="O41" s="7"/>
      <c r="P41" s="7"/>
      <c r="Q41" s="7"/>
      <c r="R41" s="7"/>
      <c r="S41" s="7"/>
      <c r="T41" s="7"/>
    </row>
    <row r="42" spans="1:20" x14ac:dyDescent="0.3">
      <c r="A42" s="7"/>
      <c r="B42" s="7"/>
      <c r="C42" s="7"/>
      <c r="D42" s="7"/>
      <c r="E42" s="7"/>
      <c r="F42" s="7"/>
      <c r="G42" s="7"/>
      <c r="H42" s="7"/>
      <c r="I42" s="7"/>
      <c r="J42" s="7"/>
      <c r="K42" s="7"/>
      <c r="L42" s="7"/>
      <c r="M42" s="7"/>
      <c r="N42" s="7"/>
      <c r="O42" s="7"/>
      <c r="P42" s="7"/>
      <c r="Q42" s="7"/>
      <c r="R42" s="7"/>
      <c r="S42" s="7"/>
      <c r="T42" s="7"/>
    </row>
    <row r="43" spans="1:20" x14ac:dyDescent="0.3">
      <c r="A43" s="7"/>
      <c r="B43" s="7"/>
      <c r="C43" s="7"/>
      <c r="D43" s="7"/>
      <c r="E43" s="7"/>
      <c r="F43" s="7"/>
      <c r="G43" s="7"/>
      <c r="H43" s="7"/>
      <c r="I43" s="7"/>
      <c r="J43" s="7"/>
      <c r="K43" s="7"/>
      <c r="L43" s="7"/>
      <c r="M43" s="7"/>
      <c r="N43" s="7"/>
      <c r="O43" s="7"/>
      <c r="P43" s="7"/>
      <c r="Q43" s="7"/>
      <c r="R43" s="7"/>
      <c r="S43" s="7"/>
      <c r="T43" s="7"/>
    </row>
    <row r="44" spans="1:20" x14ac:dyDescent="0.3">
      <c r="A44" s="7"/>
      <c r="B44" s="7"/>
      <c r="C44" s="7"/>
      <c r="D44" s="7"/>
      <c r="E44" s="7"/>
      <c r="F44" s="7"/>
      <c r="G44" s="7"/>
      <c r="H44" s="7"/>
      <c r="I44" s="7"/>
      <c r="J44" s="7"/>
      <c r="K44" s="7"/>
      <c r="L44" s="7"/>
      <c r="M44" s="7"/>
      <c r="N44" s="7"/>
      <c r="O44" s="7"/>
      <c r="P44" s="7"/>
      <c r="Q44" s="7"/>
      <c r="R44" s="7"/>
      <c r="S44" s="7"/>
      <c r="T44" s="7"/>
    </row>
    <row r="45" spans="1:20" x14ac:dyDescent="0.3">
      <c r="A45" s="7"/>
      <c r="B45" s="7"/>
      <c r="C45" s="7"/>
      <c r="D45" s="7"/>
      <c r="E45" s="7"/>
      <c r="F45" s="7"/>
      <c r="G45" s="7"/>
      <c r="H45" s="7"/>
      <c r="I45" s="7"/>
      <c r="J45" s="7"/>
      <c r="K45" s="7"/>
      <c r="L45" s="7"/>
      <c r="M45" s="7"/>
      <c r="N45" s="7"/>
      <c r="O45" s="7"/>
      <c r="P45" s="7"/>
      <c r="Q45" s="7"/>
      <c r="R45" s="7"/>
      <c r="S45" s="7"/>
      <c r="T45" s="7"/>
    </row>
    <row r="46" spans="1:20" x14ac:dyDescent="0.3">
      <c r="A46" s="7"/>
      <c r="B46" s="7"/>
      <c r="C46" s="7"/>
      <c r="D46" s="7"/>
      <c r="E46" s="7"/>
      <c r="F46" s="7"/>
      <c r="G46" s="7"/>
      <c r="H46" s="7"/>
      <c r="I46" s="7"/>
      <c r="J46" s="7"/>
      <c r="K46" s="7"/>
      <c r="L46" s="7"/>
      <c r="M46" s="7"/>
      <c r="N46" s="7"/>
      <c r="O46" s="7"/>
      <c r="P46" s="7"/>
      <c r="Q46" s="7"/>
      <c r="R46" s="7"/>
      <c r="S46" s="7"/>
      <c r="T46" s="7"/>
    </row>
    <row r="47" spans="1:20" x14ac:dyDescent="0.3">
      <c r="A47" s="7"/>
      <c r="B47" s="7"/>
      <c r="C47" s="7"/>
      <c r="D47" s="7"/>
      <c r="E47" s="7"/>
      <c r="F47" s="7"/>
      <c r="G47" s="7"/>
      <c r="H47" s="7"/>
      <c r="I47" s="7"/>
      <c r="J47" s="7"/>
      <c r="K47" s="7"/>
      <c r="L47" s="7"/>
      <c r="M47" s="7"/>
      <c r="N47" s="7"/>
      <c r="O47" s="7"/>
      <c r="P47" s="7"/>
      <c r="Q47" s="7"/>
      <c r="R47" s="7"/>
      <c r="S47" s="7"/>
      <c r="T47" s="7"/>
    </row>
    <row r="48" spans="1:20" x14ac:dyDescent="0.3">
      <c r="A48" s="7"/>
      <c r="B48" s="7"/>
      <c r="C48" s="7"/>
      <c r="D48" s="7"/>
      <c r="E48" s="7"/>
      <c r="F48" s="7"/>
      <c r="G48" s="7"/>
      <c r="H48" s="7"/>
      <c r="I48" s="7"/>
      <c r="J48" s="7"/>
      <c r="K48" s="7"/>
      <c r="L48" s="7"/>
      <c r="M48" s="7"/>
      <c r="N48" s="7"/>
      <c r="O48" s="7"/>
      <c r="P48" s="7"/>
      <c r="Q48" s="7"/>
      <c r="R48" s="7"/>
      <c r="S48" s="7"/>
      <c r="T48" s="7"/>
    </row>
    <row r="49" spans="1:20" x14ac:dyDescent="0.3">
      <c r="A49" s="7"/>
      <c r="B49" s="7"/>
      <c r="C49" s="7"/>
      <c r="D49" s="7"/>
      <c r="E49" s="7"/>
      <c r="F49" s="7"/>
      <c r="G49" s="7"/>
      <c r="H49" s="7"/>
      <c r="I49" s="7"/>
      <c r="J49" s="7"/>
      <c r="K49" s="7"/>
      <c r="L49" s="7"/>
      <c r="M49" s="7"/>
      <c r="N49" s="7"/>
      <c r="O49" s="7"/>
      <c r="P49" s="7"/>
      <c r="Q49" s="7"/>
      <c r="R49" s="7"/>
      <c r="S49" s="7"/>
      <c r="T49" s="7"/>
    </row>
    <row r="50" spans="1:20" x14ac:dyDescent="0.3">
      <c r="A50" s="7"/>
      <c r="B50" s="7"/>
      <c r="C50" s="7"/>
      <c r="D50" s="7"/>
      <c r="E50" s="7"/>
      <c r="F50" s="7"/>
      <c r="G50" s="7"/>
      <c r="H50" s="7"/>
      <c r="I50" s="7"/>
      <c r="J50" s="7"/>
      <c r="K50" s="7"/>
      <c r="L50" s="7"/>
      <c r="M50" s="7"/>
      <c r="N50" s="7"/>
      <c r="O50" s="7"/>
      <c r="P50" s="7"/>
      <c r="Q50" s="7"/>
      <c r="R50" s="7"/>
      <c r="S50" s="7"/>
      <c r="T50" s="7"/>
    </row>
    <row r="51" spans="1:20" x14ac:dyDescent="0.3">
      <c r="A51" s="7"/>
      <c r="B51" s="7"/>
      <c r="C51" s="7"/>
      <c r="D51" s="7"/>
      <c r="E51" s="7"/>
      <c r="F51" s="7"/>
      <c r="G51" s="7"/>
      <c r="H51" s="7"/>
      <c r="I51" s="7"/>
      <c r="J51" s="7"/>
      <c r="K51" s="7"/>
      <c r="L51" s="7"/>
      <c r="M51" s="7"/>
      <c r="N51" s="7"/>
      <c r="O51" s="7"/>
      <c r="P51" s="7"/>
      <c r="Q51" s="7"/>
      <c r="R51" s="7"/>
      <c r="S51" s="7"/>
      <c r="T51" s="7"/>
    </row>
    <row r="52" spans="1:20" x14ac:dyDescent="0.3">
      <c r="A52" s="7"/>
      <c r="B52" s="7"/>
      <c r="C52" s="7"/>
      <c r="D52" s="7"/>
      <c r="E52" s="7"/>
      <c r="F52" s="7"/>
      <c r="G52" s="7"/>
      <c r="H52" s="7"/>
      <c r="I52" s="7"/>
      <c r="J52" s="7"/>
      <c r="K52" s="7"/>
      <c r="L52" s="7"/>
      <c r="M52" s="7"/>
      <c r="N52" s="7"/>
      <c r="O52" s="7"/>
      <c r="P52" s="7"/>
      <c r="Q52" s="7"/>
      <c r="R52" s="7"/>
      <c r="S52" s="7"/>
      <c r="T52" s="7"/>
    </row>
    <row r="53" spans="1:20" x14ac:dyDescent="0.3">
      <c r="A53" s="7"/>
      <c r="B53" s="7"/>
      <c r="C53" s="7"/>
      <c r="D53" s="7"/>
      <c r="E53" s="7"/>
      <c r="F53" s="7"/>
      <c r="G53" s="7"/>
      <c r="H53" s="7"/>
      <c r="I53" s="7"/>
      <c r="J53" s="7"/>
      <c r="K53" s="7"/>
      <c r="L53" s="7"/>
      <c r="M53" s="7"/>
      <c r="N53" s="7"/>
      <c r="O53" s="7"/>
      <c r="P53" s="7"/>
      <c r="Q53" s="7"/>
      <c r="R53" s="7"/>
      <c r="S53" s="7"/>
      <c r="T53" s="7"/>
    </row>
    <row r="54" spans="1:20" x14ac:dyDescent="0.3">
      <c r="A54" s="7"/>
      <c r="B54" s="7"/>
      <c r="C54" s="7"/>
      <c r="D54" s="7"/>
      <c r="E54" s="7"/>
      <c r="F54" s="7"/>
      <c r="G54" s="7"/>
      <c r="H54" s="7"/>
      <c r="I54" s="7"/>
      <c r="J54" s="7"/>
      <c r="K54" s="7"/>
      <c r="L54" s="7"/>
      <c r="M54" s="7"/>
      <c r="N54" s="7"/>
      <c r="O54" s="7"/>
      <c r="P54" s="7"/>
      <c r="Q54" s="7"/>
      <c r="R54" s="7"/>
      <c r="S54" s="7"/>
      <c r="T54" s="7"/>
    </row>
    <row r="55" spans="1:20" x14ac:dyDescent="0.3">
      <c r="A55" s="7"/>
      <c r="B55" s="7"/>
      <c r="C55" s="7"/>
      <c r="D55" s="7"/>
      <c r="E55" s="7"/>
      <c r="F55" s="7"/>
      <c r="G55" s="7"/>
      <c r="H55" s="7"/>
      <c r="I55" s="7"/>
      <c r="J55" s="7"/>
      <c r="K55" s="7"/>
      <c r="L55" s="7"/>
      <c r="M55" s="7"/>
      <c r="N55" s="7"/>
      <c r="O55" s="7"/>
      <c r="P55" s="7"/>
      <c r="Q55" s="7"/>
      <c r="R55" s="7"/>
      <c r="S55" s="7"/>
      <c r="T55" s="7"/>
    </row>
    <row r="56" spans="1:20" x14ac:dyDescent="0.3">
      <c r="A56" s="7"/>
      <c r="B56" s="7"/>
      <c r="C56" s="7"/>
      <c r="D56" s="7"/>
      <c r="E56" s="7"/>
      <c r="F56" s="7"/>
      <c r="G56" s="7"/>
      <c r="H56" s="7"/>
      <c r="I56" s="7"/>
      <c r="J56" s="7"/>
      <c r="K56" s="7"/>
      <c r="L56" s="7"/>
      <c r="M56" s="7"/>
      <c r="N56" s="7"/>
      <c r="O56" s="7"/>
      <c r="P56" s="7"/>
      <c r="Q56" s="7"/>
      <c r="R56" s="7"/>
      <c r="S56" s="7"/>
      <c r="T56" s="7"/>
    </row>
    <row r="57" spans="1:20" x14ac:dyDescent="0.3">
      <c r="A57" s="7"/>
      <c r="B57" s="7"/>
      <c r="C57" s="7"/>
      <c r="D57" s="7"/>
      <c r="E57" s="7"/>
      <c r="F57" s="7"/>
      <c r="G57" s="7"/>
      <c r="H57" s="7"/>
      <c r="I57" s="7"/>
      <c r="J57" s="7"/>
      <c r="K57" s="7"/>
      <c r="L57" s="7"/>
      <c r="M57" s="7"/>
      <c r="N57" s="7"/>
      <c r="O57" s="7"/>
      <c r="P57" s="7"/>
      <c r="Q57" s="7"/>
      <c r="R57" s="7"/>
      <c r="S57" s="7"/>
      <c r="T57" s="7"/>
    </row>
    <row r="58" spans="1:20" x14ac:dyDescent="0.3">
      <c r="A58" s="7"/>
      <c r="B58" s="7"/>
      <c r="C58" s="7"/>
      <c r="D58" s="7"/>
      <c r="E58" s="7"/>
      <c r="F58" s="7"/>
      <c r="G58" s="7"/>
      <c r="H58" s="7"/>
      <c r="I58" s="7"/>
      <c r="J58" s="7"/>
      <c r="K58" s="7"/>
      <c r="L58" s="7"/>
      <c r="M58" s="7"/>
      <c r="N58" s="7"/>
      <c r="O58" s="7"/>
      <c r="P58" s="7"/>
      <c r="Q58" s="7"/>
      <c r="R58" s="7"/>
      <c r="S58" s="7"/>
      <c r="T58" s="7"/>
    </row>
    <row r="59" spans="1:20" x14ac:dyDescent="0.3">
      <c r="A59" s="7"/>
      <c r="B59" s="7"/>
      <c r="C59" s="7"/>
      <c r="D59" s="7"/>
      <c r="E59" s="7"/>
      <c r="F59" s="7"/>
      <c r="G59" s="7"/>
      <c r="H59" s="7"/>
      <c r="I59" s="7"/>
      <c r="J59" s="7"/>
      <c r="K59" s="7"/>
      <c r="L59" s="7"/>
      <c r="M59" s="7"/>
      <c r="N59" s="7"/>
      <c r="O59" s="7"/>
      <c r="P59" s="7"/>
      <c r="Q59" s="7"/>
      <c r="R59" s="7"/>
      <c r="S59" s="7"/>
      <c r="T59" s="7"/>
    </row>
    <row r="60" spans="1:20" x14ac:dyDescent="0.3">
      <c r="A60" s="7"/>
      <c r="B60" s="7"/>
      <c r="C60" s="7"/>
      <c r="D60" s="7"/>
      <c r="E60" s="7"/>
      <c r="F60" s="7"/>
      <c r="G60" s="7"/>
      <c r="H60" s="7"/>
      <c r="I60" s="7"/>
      <c r="J60" s="7"/>
      <c r="K60" s="7"/>
      <c r="L60" s="7"/>
      <c r="M60" s="7"/>
      <c r="N60" s="7"/>
      <c r="O60" s="7"/>
      <c r="P60" s="7"/>
      <c r="Q60" s="7"/>
      <c r="R60" s="7"/>
      <c r="S60" s="7"/>
      <c r="T60" s="7"/>
    </row>
    <row r="61" spans="1:20" x14ac:dyDescent="0.3">
      <c r="A61" s="7"/>
      <c r="B61" s="7"/>
      <c r="C61" s="7"/>
      <c r="D61" s="7"/>
      <c r="E61" s="7"/>
      <c r="F61" s="7"/>
      <c r="G61" s="7"/>
      <c r="H61" s="7"/>
      <c r="I61" s="7"/>
      <c r="J61" s="7"/>
      <c r="K61" s="7"/>
      <c r="L61" s="7"/>
      <c r="M61" s="7"/>
      <c r="N61" s="7"/>
      <c r="O61" s="7"/>
      <c r="P61" s="7"/>
      <c r="Q61" s="7"/>
      <c r="R61" s="7"/>
      <c r="S61" s="7"/>
      <c r="T61" s="7"/>
    </row>
    <row r="62" spans="1:20" x14ac:dyDescent="0.3">
      <c r="A62" s="7"/>
      <c r="B62" s="7"/>
      <c r="C62" s="7"/>
      <c r="D62" s="7"/>
      <c r="E62" s="7"/>
      <c r="F62" s="7"/>
      <c r="G62" s="7"/>
      <c r="H62" s="7"/>
      <c r="I62" s="7"/>
      <c r="J62" s="7"/>
      <c r="K62" s="7"/>
      <c r="L62" s="7"/>
      <c r="M62" s="7"/>
      <c r="N62" s="7"/>
      <c r="O62" s="7"/>
      <c r="P62" s="7"/>
      <c r="Q62" s="7"/>
      <c r="R62" s="7"/>
      <c r="S62" s="7"/>
      <c r="T62" s="7"/>
    </row>
    <row r="63" spans="1:20" x14ac:dyDescent="0.3">
      <c r="A63" s="7"/>
      <c r="B63" s="7"/>
      <c r="C63" s="7"/>
      <c r="D63" s="7"/>
      <c r="E63" s="7"/>
      <c r="F63" s="7"/>
      <c r="G63" s="7"/>
      <c r="H63" s="7"/>
      <c r="I63" s="7"/>
      <c r="J63" s="7"/>
      <c r="K63" s="7"/>
      <c r="L63" s="7"/>
      <c r="M63" s="7"/>
      <c r="N63" s="7"/>
      <c r="O63" s="7"/>
      <c r="P63" s="7"/>
      <c r="Q63" s="7"/>
      <c r="R63" s="7"/>
      <c r="S63" s="7"/>
      <c r="T63" s="7"/>
    </row>
    <row r="64" spans="1:20" x14ac:dyDescent="0.3">
      <c r="A64" s="7"/>
      <c r="B64" s="7"/>
      <c r="C64" s="7"/>
      <c r="D64" s="7"/>
      <c r="E64" s="7"/>
      <c r="F64" s="7"/>
      <c r="G64" s="7"/>
      <c r="H64" s="7"/>
      <c r="I64" s="7"/>
      <c r="J64" s="7"/>
      <c r="K64" s="7"/>
      <c r="L64" s="7"/>
      <c r="M64" s="7"/>
      <c r="N64" s="7"/>
      <c r="O64" s="7"/>
      <c r="P64" s="7"/>
      <c r="Q64" s="7"/>
      <c r="R64" s="7"/>
      <c r="S64" s="7"/>
      <c r="T64" s="7"/>
    </row>
    <row r="65" spans="1:20" x14ac:dyDescent="0.3">
      <c r="A65" s="7"/>
      <c r="B65" s="7"/>
      <c r="C65" s="7"/>
      <c r="D65" s="7"/>
      <c r="E65" s="7"/>
      <c r="F65" s="7"/>
      <c r="G65" s="7"/>
      <c r="H65" s="7"/>
      <c r="I65" s="7"/>
      <c r="J65" s="7"/>
      <c r="K65" s="7"/>
      <c r="L65" s="7"/>
      <c r="M65" s="7"/>
      <c r="N65" s="7"/>
      <c r="O65" s="7"/>
      <c r="P65" s="7"/>
      <c r="Q65" s="7"/>
      <c r="R65" s="7"/>
      <c r="S65" s="7"/>
      <c r="T65" s="7"/>
    </row>
    <row r="66" spans="1:20" x14ac:dyDescent="0.3">
      <c r="A66" s="7"/>
      <c r="B66" s="7"/>
      <c r="C66" s="7"/>
      <c r="D66" s="7"/>
      <c r="E66" s="7"/>
      <c r="F66" s="7"/>
      <c r="G66" s="7"/>
      <c r="H66" s="7"/>
      <c r="I66" s="7"/>
      <c r="J66" s="7"/>
      <c r="K66" s="7"/>
      <c r="L66" s="7"/>
      <c r="M66" s="7"/>
      <c r="N66" s="7"/>
      <c r="O66" s="7"/>
      <c r="P66" s="7"/>
      <c r="Q66" s="7"/>
    </row>
    <row r="67" spans="1:20" x14ac:dyDescent="0.3">
      <c r="A67" s="7"/>
      <c r="B67" s="7"/>
      <c r="C67" s="7"/>
      <c r="D67" s="7"/>
      <c r="E67" s="7"/>
      <c r="F67" s="7"/>
      <c r="G67" s="7"/>
      <c r="H67" s="7"/>
      <c r="I67" s="7"/>
      <c r="J67" s="7"/>
      <c r="K67" s="7"/>
      <c r="L67" s="7"/>
      <c r="M67" s="7"/>
      <c r="N67" s="7"/>
      <c r="O67" s="7"/>
      <c r="P67" s="7"/>
      <c r="Q67" s="7"/>
    </row>
    <row r="68" spans="1:20" x14ac:dyDescent="0.3">
      <c r="A68" s="7"/>
      <c r="B68" s="7"/>
      <c r="C68" s="7"/>
      <c r="D68" s="7"/>
      <c r="E68" s="7"/>
      <c r="F68" s="7"/>
      <c r="G68" s="7"/>
      <c r="H68" s="7"/>
      <c r="I68" s="7"/>
      <c r="J68" s="7"/>
      <c r="K68" s="7"/>
      <c r="L68" s="7"/>
      <c r="M68" s="7"/>
      <c r="N68" s="7"/>
      <c r="O68" s="7"/>
      <c r="P68" s="7"/>
      <c r="Q68" s="7"/>
    </row>
    <row r="69" spans="1:20" x14ac:dyDescent="0.3">
      <c r="A69" s="7"/>
      <c r="B69" s="7"/>
      <c r="C69" s="7"/>
      <c r="D69" s="7"/>
      <c r="E69" s="7"/>
      <c r="F69" s="7"/>
      <c r="G69" s="7"/>
      <c r="H69" s="7"/>
      <c r="I69" s="7"/>
      <c r="J69" s="7"/>
      <c r="K69" s="7"/>
      <c r="L69" s="7"/>
      <c r="M69" s="7"/>
      <c r="N69" s="7"/>
      <c r="O69" s="7"/>
      <c r="P69" s="7"/>
      <c r="Q69" s="7"/>
    </row>
    <row r="70" spans="1:20" x14ac:dyDescent="0.3">
      <c r="A70" s="7"/>
      <c r="B70" s="7"/>
      <c r="C70" s="7"/>
      <c r="D70" s="7"/>
      <c r="E70" s="7"/>
      <c r="F70" s="7"/>
      <c r="G70" s="7"/>
      <c r="H70" s="7"/>
      <c r="I70" s="7"/>
      <c r="J70" s="7"/>
      <c r="K70" s="7"/>
      <c r="L70" s="7"/>
      <c r="M70" s="7"/>
      <c r="N70" s="7"/>
      <c r="O70" s="7"/>
      <c r="P70" s="7"/>
      <c r="Q70" s="7"/>
    </row>
    <row r="71" spans="1:20" x14ac:dyDescent="0.3">
      <c r="A71" s="7"/>
      <c r="B71" s="7"/>
      <c r="C71" s="7"/>
      <c r="D71" s="7"/>
      <c r="E71" s="7"/>
      <c r="F71" s="7"/>
      <c r="G71" s="7"/>
      <c r="H71" s="7"/>
      <c r="I71" s="7"/>
      <c r="J71" s="7"/>
      <c r="K71" s="7"/>
      <c r="L71" s="7"/>
      <c r="M71" s="7"/>
      <c r="N71" s="7"/>
      <c r="O71" s="7"/>
      <c r="P71" s="7"/>
      <c r="Q71" s="7"/>
    </row>
    <row r="72" spans="1:20" x14ac:dyDescent="0.3">
      <c r="A72" s="7"/>
      <c r="B72" s="7"/>
      <c r="C72" s="7"/>
      <c r="D72" s="7"/>
      <c r="E72" s="7"/>
      <c r="F72" s="7"/>
      <c r="G72" s="7"/>
      <c r="H72" s="7"/>
      <c r="I72" s="7"/>
      <c r="J72" s="7"/>
      <c r="K72" s="7"/>
      <c r="L72" s="7"/>
      <c r="M72" s="7"/>
      <c r="N72" s="7"/>
      <c r="O72" s="7"/>
      <c r="P72" s="7"/>
      <c r="Q72" s="7"/>
    </row>
    <row r="73" spans="1:20" x14ac:dyDescent="0.3">
      <c r="A73" s="7"/>
      <c r="B73" s="7"/>
      <c r="C73" s="7"/>
      <c r="D73" s="7"/>
      <c r="E73" s="7"/>
      <c r="F73" s="7"/>
      <c r="G73" s="7"/>
      <c r="H73" s="7"/>
      <c r="I73" s="7"/>
      <c r="J73" s="7"/>
      <c r="K73" s="7"/>
      <c r="L73" s="7"/>
      <c r="M73" s="7"/>
      <c r="N73" s="7"/>
      <c r="O73" s="7"/>
      <c r="P73" s="7"/>
      <c r="Q73" s="7"/>
    </row>
    <row r="74" spans="1:20" x14ac:dyDescent="0.3">
      <c r="A74" s="7"/>
      <c r="B74" s="7"/>
      <c r="C74" s="7"/>
      <c r="D74" s="7"/>
      <c r="E74" s="7"/>
      <c r="F74" s="7"/>
      <c r="G74" s="7"/>
      <c r="H74" s="7"/>
      <c r="I74" s="7"/>
      <c r="J74" s="7"/>
      <c r="K74" s="7"/>
      <c r="L74" s="7"/>
      <c r="M74" s="7"/>
      <c r="N74" s="7"/>
      <c r="O74" s="7"/>
      <c r="P74" s="7"/>
      <c r="Q74" s="7"/>
    </row>
    <row r="75" spans="1:20" x14ac:dyDescent="0.3">
      <c r="A75" s="7"/>
      <c r="B75" s="7"/>
      <c r="C75" s="7"/>
      <c r="D75" s="7"/>
      <c r="E75" s="7"/>
      <c r="F75" s="7"/>
      <c r="G75" s="7"/>
      <c r="H75" s="7"/>
      <c r="I75" s="7"/>
      <c r="J75" s="7"/>
      <c r="K75" s="7"/>
      <c r="L75" s="7"/>
      <c r="M75" s="7"/>
      <c r="N75" s="7"/>
      <c r="O75" s="7"/>
      <c r="P75" s="7"/>
      <c r="Q75" s="7"/>
    </row>
    <row r="76" spans="1:20" x14ac:dyDescent="0.3">
      <c r="A76" s="7"/>
      <c r="B76" s="7"/>
      <c r="C76" s="7"/>
      <c r="D76" s="7"/>
      <c r="E76" s="7"/>
      <c r="F76" s="7"/>
      <c r="G76" s="7"/>
      <c r="H76" s="7"/>
      <c r="I76" s="7"/>
      <c r="J76" s="7"/>
      <c r="K76" s="7"/>
      <c r="L76" s="7"/>
      <c r="M76" s="7"/>
      <c r="N76" s="7"/>
      <c r="O76" s="7"/>
      <c r="P76" s="7"/>
      <c r="Q76" s="7"/>
    </row>
    <row r="77" spans="1:20" x14ac:dyDescent="0.3">
      <c r="A77" s="7"/>
      <c r="B77" s="7"/>
      <c r="C77" s="7"/>
      <c r="D77" s="7"/>
      <c r="E77" s="7"/>
      <c r="F77" s="7"/>
      <c r="G77" s="7"/>
      <c r="H77" s="7"/>
      <c r="I77" s="7"/>
      <c r="J77" s="7"/>
      <c r="K77" s="7"/>
      <c r="L77" s="7"/>
      <c r="M77" s="7"/>
      <c r="N77" s="7"/>
      <c r="O77" s="7"/>
      <c r="P77" s="7"/>
      <c r="Q77" s="7"/>
    </row>
    <row r="78" spans="1:20" x14ac:dyDescent="0.3">
      <c r="A78" s="7"/>
      <c r="B78" s="7"/>
      <c r="C78" s="7"/>
      <c r="D78" s="7"/>
      <c r="E78" s="7"/>
      <c r="F78" s="7"/>
      <c r="G78" s="7"/>
      <c r="H78" s="7"/>
      <c r="I78" s="7"/>
      <c r="J78" s="7"/>
      <c r="K78" s="7"/>
      <c r="L78" s="7"/>
      <c r="M78" s="7"/>
      <c r="N78" s="7"/>
      <c r="O78" s="7"/>
      <c r="P78" s="7"/>
      <c r="Q78" s="7"/>
    </row>
    <row r="79" spans="1:20" x14ac:dyDescent="0.3">
      <c r="A79" s="7"/>
      <c r="B79" s="7"/>
      <c r="C79" s="7"/>
      <c r="D79" s="7"/>
      <c r="E79" s="7"/>
      <c r="F79" s="7"/>
      <c r="G79" s="7"/>
      <c r="H79" s="7"/>
      <c r="I79" s="7"/>
      <c r="J79" s="7"/>
      <c r="K79" s="7"/>
      <c r="L79" s="7"/>
      <c r="M79" s="7"/>
      <c r="N79" s="7"/>
      <c r="O79" s="7"/>
      <c r="P79" s="7"/>
      <c r="Q79" s="7"/>
    </row>
    <row r="80" spans="1:20" x14ac:dyDescent="0.3">
      <c r="A80" s="7"/>
      <c r="B80" s="7"/>
      <c r="C80" s="7"/>
      <c r="D80" s="7"/>
      <c r="E80" s="7"/>
      <c r="F80" s="7"/>
      <c r="G80" s="7"/>
      <c r="H80" s="7"/>
      <c r="I80" s="7"/>
      <c r="J80" s="7"/>
      <c r="K80" s="7"/>
      <c r="L80" s="7"/>
      <c r="M80" s="7"/>
      <c r="N80" s="7"/>
      <c r="O80" s="7"/>
      <c r="P80" s="7"/>
      <c r="Q80" s="7"/>
    </row>
    <row r="81" spans="1:17" x14ac:dyDescent="0.3">
      <c r="A81" s="7"/>
      <c r="B81" s="7"/>
      <c r="C81" s="7"/>
      <c r="D81" s="7"/>
      <c r="E81" s="7"/>
      <c r="F81" s="7"/>
      <c r="G81" s="7"/>
      <c r="H81" s="7"/>
      <c r="I81" s="7"/>
      <c r="J81" s="7"/>
      <c r="K81" s="7"/>
      <c r="L81" s="7"/>
      <c r="M81" s="7"/>
      <c r="N81" s="7"/>
      <c r="O81" s="7"/>
      <c r="P81" s="7"/>
      <c r="Q81" s="7"/>
    </row>
    <row r="82" spans="1:17" x14ac:dyDescent="0.3">
      <c r="A82" s="7"/>
      <c r="B82" s="7"/>
      <c r="C82" s="7"/>
      <c r="D82" s="7"/>
      <c r="E82" s="7"/>
      <c r="F82" s="7"/>
      <c r="G82" s="7"/>
      <c r="H82" s="7"/>
      <c r="I82" s="7"/>
      <c r="J82" s="7"/>
      <c r="K82" s="7"/>
      <c r="L82" s="7"/>
      <c r="M82" s="7"/>
      <c r="N82" s="7"/>
      <c r="O82" s="7"/>
      <c r="P82" s="7"/>
      <c r="Q82" s="7"/>
    </row>
    <row r="83" spans="1:17" x14ac:dyDescent="0.3">
      <c r="A83" s="7"/>
      <c r="B83" s="7"/>
      <c r="C83" s="7"/>
      <c r="D83" s="7"/>
      <c r="E83" s="7"/>
      <c r="F83" s="7"/>
      <c r="G83" s="7"/>
      <c r="H83" s="7"/>
      <c r="I83" s="7"/>
      <c r="J83" s="7"/>
      <c r="K83" s="7"/>
      <c r="L83" s="7"/>
      <c r="M83" s="7"/>
      <c r="N83" s="7"/>
      <c r="O83" s="7"/>
      <c r="P83" s="7"/>
      <c r="Q83" s="7"/>
    </row>
    <row r="84" spans="1:17" x14ac:dyDescent="0.3">
      <c r="A84" s="7"/>
      <c r="B84" s="7"/>
      <c r="C84" s="7"/>
      <c r="D84" s="7"/>
      <c r="E84" s="7"/>
      <c r="F84" s="7"/>
      <c r="G84" s="7"/>
      <c r="H84" s="7"/>
      <c r="I84" s="7"/>
      <c r="J84" s="7"/>
      <c r="K84" s="7"/>
      <c r="L84" s="7"/>
      <c r="M84" s="7"/>
      <c r="N84" s="7"/>
      <c r="O84" s="7"/>
      <c r="P84" s="7"/>
      <c r="Q84" s="7"/>
    </row>
    <row r="85" spans="1:17" x14ac:dyDescent="0.3">
      <c r="A85" s="7"/>
      <c r="B85" s="7"/>
      <c r="C85" s="7"/>
      <c r="D85" s="7"/>
      <c r="E85" s="7"/>
      <c r="F85" s="7"/>
      <c r="G85" s="7"/>
      <c r="H85" s="7"/>
      <c r="I85" s="7"/>
      <c r="J85" s="7"/>
      <c r="K85" s="7"/>
      <c r="L85" s="7"/>
      <c r="M85" s="7"/>
      <c r="N85" s="7"/>
      <c r="O85" s="7"/>
      <c r="P85" s="7"/>
      <c r="Q85" s="7"/>
    </row>
    <row r="86" spans="1:17" x14ac:dyDescent="0.3">
      <c r="A86" s="7"/>
      <c r="B86" s="7"/>
      <c r="C86" s="7"/>
      <c r="D86" s="7"/>
      <c r="E86" s="7"/>
      <c r="F86" s="7"/>
      <c r="G86" s="7"/>
      <c r="H86" s="7"/>
      <c r="I86" s="7"/>
      <c r="J86" s="7"/>
      <c r="K86" s="7"/>
      <c r="L86" s="7"/>
      <c r="M86" s="7"/>
      <c r="N86" s="7"/>
      <c r="O86" s="7"/>
      <c r="P86" s="7"/>
      <c r="Q86" s="7"/>
    </row>
    <row r="87" spans="1:17" x14ac:dyDescent="0.3">
      <c r="A87" s="7"/>
      <c r="B87" s="7"/>
      <c r="C87" s="7"/>
      <c r="D87" s="7"/>
      <c r="E87" s="7"/>
      <c r="F87" s="7"/>
      <c r="G87" s="7"/>
      <c r="H87" s="7"/>
      <c r="I87" s="7"/>
      <c r="J87" s="7"/>
      <c r="K87" s="7"/>
      <c r="L87" s="7"/>
      <c r="M87" s="7"/>
      <c r="N87" s="7"/>
      <c r="O87" s="7"/>
      <c r="P87" s="7"/>
      <c r="Q87" s="7"/>
    </row>
    <row r="88" spans="1:17" x14ac:dyDescent="0.3">
      <c r="A88" s="7"/>
      <c r="B88" s="7"/>
      <c r="C88" s="7"/>
      <c r="D88" s="7"/>
      <c r="E88" s="7"/>
      <c r="F88" s="7"/>
      <c r="G88" s="7"/>
      <c r="H88" s="7"/>
      <c r="I88" s="7"/>
      <c r="J88" s="7"/>
      <c r="K88" s="7"/>
      <c r="L88" s="7"/>
      <c r="M88" s="7"/>
      <c r="N88" s="7"/>
      <c r="O88" s="7"/>
      <c r="P88" s="7"/>
      <c r="Q88" s="7"/>
    </row>
    <row r="89" spans="1:17" x14ac:dyDescent="0.3">
      <c r="A89" s="7"/>
      <c r="B89" s="7"/>
      <c r="C89" s="7"/>
      <c r="D89" s="7"/>
      <c r="E89" s="7"/>
      <c r="F89" s="7"/>
      <c r="G89" s="7"/>
      <c r="H89" s="7"/>
      <c r="I89" s="7"/>
      <c r="J89" s="7"/>
      <c r="K89" s="7"/>
      <c r="L89" s="7"/>
      <c r="M89" s="7"/>
      <c r="N89" s="7"/>
      <c r="O89" s="7"/>
      <c r="P89" s="7"/>
      <c r="Q89" s="7"/>
    </row>
    <row r="90" spans="1:17" x14ac:dyDescent="0.3">
      <c r="A90" s="7"/>
      <c r="B90" s="7"/>
      <c r="C90" s="7"/>
      <c r="D90" s="7"/>
      <c r="E90" s="7"/>
      <c r="F90" s="7"/>
      <c r="G90" s="7"/>
      <c r="H90" s="7"/>
      <c r="I90" s="7"/>
      <c r="J90" s="7"/>
      <c r="K90" s="7"/>
      <c r="L90" s="7"/>
      <c r="M90" s="7"/>
      <c r="N90" s="7"/>
      <c r="O90" s="7"/>
      <c r="P90" s="7"/>
      <c r="Q90" s="7"/>
    </row>
    <row r="91" spans="1:17" x14ac:dyDescent="0.3">
      <c r="A91" s="7"/>
      <c r="B91" s="7"/>
      <c r="C91" s="7"/>
      <c r="D91" s="7"/>
      <c r="E91" s="7"/>
      <c r="F91" s="7"/>
      <c r="G91" s="7"/>
      <c r="H91" s="7"/>
      <c r="I91" s="7"/>
      <c r="J91" s="7"/>
      <c r="K91" s="7"/>
      <c r="L91" s="7"/>
      <c r="M91" s="7"/>
      <c r="N91" s="7"/>
      <c r="O91" s="7"/>
      <c r="P91" s="7"/>
      <c r="Q91" s="7"/>
    </row>
    <row r="92" spans="1:17" x14ac:dyDescent="0.3">
      <c r="A92" s="7"/>
      <c r="B92" s="7"/>
      <c r="C92" s="7"/>
      <c r="D92" s="7"/>
      <c r="E92" s="7"/>
      <c r="F92" s="7"/>
      <c r="G92" s="7"/>
      <c r="H92" s="7"/>
      <c r="I92" s="7"/>
      <c r="J92" s="7"/>
      <c r="K92" s="7"/>
      <c r="L92" s="7"/>
      <c r="M92" s="7"/>
      <c r="N92" s="7"/>
      <c r="O92" s="7"/>
      <c r="P92" s="7"/>
      <c r="Q92" s="7"/>
    </row>
    <row r="93" spans="1:17" x14ac:dyDescent="0.3">
      <c r="A93" s="7"/>
      <c r="B93" s="7"/>
      <c r="C93" s="7"/>
      <c r="D93" s="7"/>
      <c r="E93" s="7"/>
      <c r="F93" s="7"/>
      <c r="G93" s="7"/>
      <c r="H93" s="7"/>
      <c r="I93" s="7"/>
      <c r="J93" s="7"/>
      <c r="K93" s="7"/>
      <c r="L93" s="7"/>
      <c r="M93" s="7"/>
      <c r="N93" s="7"/>
      <c r="O93" s="7"/>
      <c r="P93" s="7"/>
      <c r="Q93" s="7"/>
    </row>
    <row r="94" spans="1:17" x14ac:dyDescent="0.3">
      <c r="A94" s="7"/>
      <c r="B94" s="7"/>
      <c r="C94" s="7"/>
      <c r="D94" s="7"/>
      <c r="E94" s="7"/>
      <c r="F94" s="7"/>
      <c r="G94" s="7"/>
      <c r="H94" s="7"/>
      <c r="I94" s="7"/>
      <c r="J94" s="7"/>
      <c r="K94" s="7"/>
      <c r="L94" s="7"/>
      <c r="M94" s="7"/>
      <c r="N94" s="7"/>
      <c r="O94" s="7"/>
      <c r="P94" s="7"/>
      <c r="Q94" s="7"/>
    </row>
    <row r="95" spans="1:17" x14ac:dyDescent="0.3">
      <c r="A95" s="7"/>
      <c r="B95" s="7"/>
      <c r="C95" s="7"/>
      <c r="D95" s="7"/>
      <c r="E95" s="7"/>
      <c r="F95" s="7"/>
      <c r="G95" s="7"/>
      <c r="H95" s="7"/>
      <c r="I95" s="7"/>
      <c r="J95" s="7"/>
      <c r="K95" s="7"/>
      <c r="L95" s="7"/>
      <c r="M95" s="7"/>
      <c r="N95" s="7"/>
      <c r="O95" s="7"/>
      <c r="P95" s="7"/>
      <c r="Q95" s="7"/>
    </row>
    <row r="96" spans="1:17" x14ac:dyDescent="0.3">
      <c r="A96" s="7"/>
      <c r="B96" s="7"/>
      <c r="C96" s="7"/>
      <c r="D96" s="7"/>
      <c r="E96" s="7"/>
      <c r="F96" s="7"/>
      <c r="G96" s="7"/>
      <c r="H96" s="7"/>
      <c r="I96" s="7"/>
      <c r="J96" s="7"/>
      <c r="K96" s="7"/>
      <c r="L96" s="7"/>
      <c r="M96" s="7"/>
      <c r="N96" s="7"/>
      <c r="O96" s="7"/>
      <c r="P96" s="7"/>
      <c r="Q96" s="7"/>
    </row>
    <row r="97" spans="1:17" x14ac:dyDescent="0.3">
      <c r="A97" s="7"/>
      <c r="B97" s="7"/>
      <c r="C97" s="7"/>
      <c r="D97" s="7"/>
      <c r="E97" s="7"/>
      <c r="F97" s="7"/>
      <c r="G97" s="7"/>
      <c r="H97" s="7"/>
      <c r="I97" s="7"/>
      <c r="J97" s="7"/>
      <c r="K97" s="7"/>
      <c r="L97" s="7"/>
      <c r="M97" s="7"/>
      <c r="N97" s="7"/>
      <c r="O97" s="7"/>
      <c r="P97" s="7"/>
      <c r="Q97" s="7"/>
    </row>
    <row r="98" spans="1:17" x14ac:dyDescent="0.3">
      <c r="A98" s="7"/>
      <c r="B98" s="7"/>
      <c r="C98" s="7"/>
      <c r="D98" s="7"/>
      <c r="E98" s="7"/>
      <c r="F98" s="7"/>
      <c r="G98" s="7"/>
      <c r="H98" s="7"/>
      <c r="I98" s="7"/>
      <c r="J98" s="7"/>
      <c r="K98" s="7"/>
      <c r="L98" s="7"/>
      <c r="M98" s="7"/>
      <c r="N98" s="7"/>
      <c r="O98" s="7"/>
      <c r="P98" s="7"/>
      <c r="Q98" s="7"/>
    </row>
    <row r="99" spans="1:17" x14ac:dyDescent="0.3">
      <c r="A99" s="7"/>
      <c r="B99" s="7"/>
      <c r="C99" s="7"/>
      <c r="D99" s="7"/>
      <c r="E99" s="7"/>
      <c r="F99" s="7"/>
      <c r="G99" s="7"/>
      <c r="H99" s="7"/>
      <c r="I99" s="7"/>
      <c r="J99" s="7"/>
      <c r="K99" s="7"/>
      <c r="L99" s="7"/>
      <c r="M99" s="7"/>
      <c r="N99" s="7"/>
      <c r="O99" s="7"/>
      <c r="P99" s="7"/>
      <c r="Q99" s="7"/>
    </row>
    <row r="100" spans="1:17" x14ac:dyDescent="0.3">
      <c r="A100" s="7"/>
      <c r="B100" s="7"/>
      <c r="C100" s="7"/>
      <c r="D100" s="7"/>
      <c r="E100" s="7"/>
      <c r="F100" s="7"/>
      <c r="G100" s="7"/>
      <c r="H100" s="7"/>
      <c r="I100" s="7"/>
      <c r="J100" s="7"/>
      <c r="K100" s="7"/>
      <c r="L100" s="7"/>
      <c r="M100" s="7"/>
      <c r="N100" s="7"/>
      <c r="O100" s="7"/>
      <c r="P100" s="7"/>
      <c r="Q100" s="7"/>
    </row>
    <row r="101" spans="1:17" x14ac:dyDescent="0.3">
      <c r="A101" s="7"/>
      <c r="B101" s="7"/>
      <c r="C101" s="7"/>
      <c r="D101" s="7"/>
      <c r="E101" s="7"/>
      <c r="F101" s="7"/>
      <c r="G101" s="7"/>
      <c r="H101" s="7"/>
      <c r="I101" s="7"/>
      <c r="J101" s="7"/>
      <c r="K101" s="7"/>
      <c r="L101" s="7"/>
      <c r="M101" s="7"/>
      <c r="N101" s="7"/>
      <c r="O101" s="7"/>
      <c r="P101" s="7"/>
      <c r="Q101" s="7"/>
    </row>
    <row r="102" spans="1:17" x14ac:dyDescent="0.3">
      <c r="A102" s="7"/>
      <c r="B102" s="7"/>
      <c r="C102" s="7"/>
      <c r="D102" s="7"/>
      <c r="E102" s="7"/>
      <c r="F102" s="7"/>
      <c r="G102" s="7"/>
      <c r="H102" s="7"/>
      <c r="I102" s="7"/>
      <c r="J102" s="7"/>
      <c r="K102" s="7"/>
      <c r="L102" s="7"/>
      <c r="M102" s="7"/>
      <c r="N102" s="7"/>
      <c r="O102" s="7"/>
      <c r="P102" s="7"/>
      <c r="Q102" s="7"/>
    </row>
    <row r="103" spans="1:17" x14ac:dyDescent="0.3">
      <c r="A103" s="7"/>
      <c r="B103" s="7"/>
      <c r="C103" s="7"/>
      <c r="D103" s="7"/>
      <c r="E103" s="7"/>
      <c r="F103" s="7"/>
      <c r="G103" s="7"/>
      <c r="H103" s="7"/>
      <c r="I103" s="7"/>
      <c r="J103" s="7"/>
      <c r="K103" s="7"/>
      <c r="L103" s="7"/>
      <c r="M103" s="7"/>
      <c r="N103" s="7"/>
      <c r="O103" s="7"/>
      <c r="P103" s="7"/>
      <c r="Q103" s="7"/>
    </row>
    <row r="104" spans="1:17" x14ac:dyDescent="0.3">
      <c r="A104" s="7"/>
      <c r="B104" s="7"/>
      <c r="C104" s="7"/>
      <c r="D104" s="7"/>
      <c r="E104" s="7"/>
      <c r="F104" s="7"/>
      <c r="G104" s="7"/>
      <c r="H104" s="7"/>
      <c r="I104" s="7"/>
      <c r="J104" s="7"/>
      <c r="K104" s="7"/>
      <c r="L104" s="7"/>
      <c r="M104" s="7"/>
      <c r="N104" s="7"/>
      <c r="O104" s="7"/>
      <c r="P104" s="7"/>
      <c r="Q104" s="7"/>
    </row>
    <row r="105" spans="1:17" x14ac:dyDescent="0.3">
      <c r="A105" s="7"/>
      <c r="B105" s="7"/>
      <c r="C105" s="7"/>
      <c r="D105" s="7"/>
      <c r="E105" s="7"/>
      <c r="F105" s="7"/>
      <c r="G105" s="7"/>
      <c r="H105" s="7"/>
      <c r="I105" s="7"/>
      <c r="J105" s="7"/>
      <c r="K105" s="7"/>
      <c r="L105" s="7"/>
      <c r="M105" s="7"/>
      <c r="N105" s="7"/>
      <c r="O105" s="7"/>
      <c r="P105" s="7"/>
      <c r="Q105" s="7"/>
    </row>
    <row r="106" spans="1:17" x14ac:dyDescent="0.3">
      <c r="A106" s="7"/>
      <c r="B106" s="7"/>
      <c r="C106" s="7"/>
      <c r="D106" s="7"/>
      <c r="E106" s="7"/>
      <c r="F106" s="7"/>
      <c r="G106" s="7"/>
      <c r="H106" s="7"/>
      <c r="I106" s="7"/>
      <c r="J106" s="7"/>
      <c r="K106" s="7"/>
      <c r="L106" s="7"/>
      <c r="M106" s="7"/>
      <c r="N106" s="7"/>
      <c r="O106" s="7"/>
      <c r="P106" s="7"/>
      <c r="Q106" s="7"/>
    </row>
    <row r="107" spans="1:17" x14ac:dyDescent="0.3">
      <c r="A107" s="7"/>
      <c r="B107" s="7"/>
      <c r="C107" s="7"/>
      <c r="D107" s="7"/>
      <c r="E107" s="7"/>
      <c r="F107" s="7"/>
      <c r="G107" s="7"/>
      <c r="H107" s="7"/>
      <c r="I107" s="7"/>
      <c r="J107" s="7"/>
      <c r="K107" s="7"/>
      <c r="L107" s="7"/>
      <c r="M107" s="7"/>
      <c r="N107" s="7"/>
      <c r="O107" s="7"/>
      <c r="P107" s="7"/>
      <c r="Q107" s="7"/>
    </row>
    <row r="108" spans="1:17" x14ac:dyDescent="0.3">
      <c r="A108" s="7"/>
      <c r="B108" s="7"/>
      <c r="C108" s="7"/>
      <c r="D108" s="7"/>
      <c r="E108" s="7"/>
      <c r="F108" s="7"/>
      <c r="G108" s="7"/>
      <c r="H108" s="7"/>
      <c r="I108" s="7"/>
      <c r="J108" s="7"/>
      <c r="K108" s="7"/>
      <c r="L108" s="7"/>
      <c r="M108" s="7"/>
      <c r="N108" s="7"/>
      <c r="O108" s="7"/>
      <c r="P108" s="7"/>
      <c r="Q108" s="7"/>
    </row>
    <row r="109" spans="1:17" x14ac:dyDescent="0.3">
      <c r="A109" s="7"/>
      <c r="B109" s="7"/>
      <c r="C109" s="7"/>
      <c r="D109" s="7"/>
      <c r="E109" s="7"/>
      <c r="F109" s="7"/>
      <c r="G109" s="7"/>
      <c r="H109" s="7"/>
      <c r="I109" s="7"/>
      <c r="J109" s="7"/>
      <c r="K109" s="7"/>
      <c r="L109" s="7"/>
      <c r="M109" s="7"/>
      <c r="N109" s="7"/>
      <c r="O109" s="7"/>
      <c r="P109" s="7"/>
      <c r="Q109" s="7"/>
    </row>
    <row r="110" spans="1:17" x14ac:dyDescent="0.3">
      <c r="A110" s="7"/>
      <c r="B110" s="7"/>
      <c r="C110" s="7"/>
      <c r="D110" s="7"/>
      <c r="E110" s="7"/>
      <c r="F110" s="7"/>
      <c r="G110" s="7"/>
      <c r="H110" s="7"/>
      <c r="I110" s="7"/>
      <c r="J110" s="7"/>
      <c r="K110" s="7"/>
      <c r="L110" s="7"/>
      <c r="M110" s="7"/>
      <c r="N110" s="7"/>
      <c r="O110" s="7"/>
      <c r="P110" s="7"/>
      <c r="Q110" s="7"/>
    </row>
    <row r="111" spans="1:17" x14ac:dyDescent="0.3">
      <c r="A111" s="7"/>
      <c r="B111" s="7"/>
      <c r="C111" s="7"/>
      <c r="D111" s="7"/>
      <c r="E111" s="7"/>
      <c r="F111" s="7"/>
      <c r="G111" s="7"/>
      <c r="H111" s="7"/>
      <c r="I111" s="7"/>
      <c r="J111" s="7"/>
      <c r="K111" s="7"/>
      <c r="L111" s="7"/>
      <c r="M111" s="7"/>
      <c r="N111" s="7"/>
      <c r="O111" s="7"/>
      <c r="P111" s="7"/>
      <c r="Q111" s="7"/>
    </row>
    <row r="112" spans="1:17" x14ac:dyDescent="0.3">
      <c r="A112" s="7"/>
      <c r="B112" s="7"/>
      <c r="C112" s="7"/>
      <c r="D112" s="7"/>
      <c r="E112" s="7"/>
      <c r="F112" s="7"/>
      <c r="G112" s="7"/>
      <c r="H112" s="7"/>
      <c r="I112" s="7"/>
      <c r="J112" s="7"/>
      <c r="K112" s="7"/>
      <c r="L112" s="7"/>
      <c r="M112" s="7"/>
      <c r="N112" s="7"/>
      <c r="O112" s="7"/>
      <c r="P112" s="7"/>
      <c r="Q112" s="7"/>
    </row>
    <row r="113" spans="1:17" x14ac:dyDescent="0.3">
      <c r="A113" s="7"/>
      <c r="B113" s="7"/>
      <c r="C113" s="7"/>
      <c r="D113" s="7"/>
      <c r="E113" s="7"/>
      <c r="F113" s="7"/>
      <c r="G113" s="7"/>
      <c r="H113" s="7"/>
      <c r="I113" s="7"/>
      <c r="J113" s="7"/>
      <c r="K113" s="7"/>
      <c r="L113" s="7"/>
      <c r="M113" s="7"/>
      <c r="N113" s="7"/>
      <c r="O113" s="7"/>
      <c r="P113" s="7"/>
      <c r="Q113" s="7"/>
    </row>
    <row r="114" spans="1:17" x14ac:dyDescent="0.3">
      <c r="A114" s="7"/>
      <c r="B114" s="7"/>
      <c r="C114" s="7"/>
      <c r="D114" s="7"/>
      <c r="E114" s="7"/>
      <c r="F114" s="7"/>
      <c r="G114" s="7"/>
      <c r="H114" s="7"/>
      <c r="I114" s="7"/>
      <c r="J114" s="7"/>
      <c r="K114" s="7"/>
      <c r="L114" s="7"/>
      <c r="M114" s="7"/>
      <c r="N114" s="7"/>
      <c r="O114" s="7"/>
      <c r="P114" s="7"/>
      <c r="Q114" s="7"/>
    </row>
    <row r="115" spans="1:17" x14ac:dyDescent="0.3">
      <c r="A115" s="7"/>
      <c r="B115" s="7"/>
      <c r="C115" s="7"/>
      <c r="D115" s="7"/>
      <c r="E115" s="7"/>
      <c r="F115" s="7"/>
      <c r="G115" s="7"/>
      <c r="H115" s="7"/>
      <c r="I115" s="7"/>
      <c r="J115" s="7"/>
      <c r="K115" s="7"/>
      <c r="L115" s="7"/>
      <c r="M115" s="7"/>
      <c r="N115" s="7"/>
      <c r="O115" s="7"/>
      <c r="P115" s="7"/>
      <c r="Q115" s="7"/>
    </row>
    <row r="116" spans="1:17" x14ac:dyDescent="0.3">
      <c r="A116" s="7"/>
      <c r="B116" s="7"/>
      <c r="C116" s="7"/>
      <c r="D116" s="7"/>
      <c r="E116" s="7"/>
      <c r="F116" s="7"/>
      <c r="G116" s="7"/>
      <c r="H116" s="7"/>
      <c r="I116" s="7"/>
      <c r="J116" s="7"/>
      <c r="K116" s="7"/>
      <c r="L116" s="7"/>
      <c r="M116" s="7"/>
      <c r="N116" s="7"/>
      <c r="O116" s="7"/>
      <c r="P116" s="7"/>
      <c r="Q116" s="7"/>
    </row>
    <row r="117" spans="1:17" x14ac:dyDescent="0.3">
      <c r="A117" s="7"/>
      <c r="B117" s="7"/>
      <c r="C117" s="7"/>
      <c r="D117" s="7"/>
      <c r="E117" s="7"/>
      <c r="F117" s="7"/>
      <c r="G117" s="7"/>
      <c r="H117" s="7"/>
      <c r="I117" s="7"/>
      <c r="J117" s="7"/>
      <c r="K117" s="7"/>
      <c r="L117" s="7"/>
      <c r="M117" s="7"/>
      <c r="N117" s="7"/>
      <c r="O117" s="7"/>
      <c r="P117" s="7"/>
      <c r="Q117" s="7"/>
    </row>
    <row r="118" spans="1:17" x14ac:dyDescent="0.3">
      <c r="A118" s="7"/>
      <c r="B118" s="7"/>
      <c r="C118" s="7"/>
      <c r="D118" s="7"/>
      <c r="E118" s="7"/>
      <c r="F118" s="7"/>
      <c r="G118" s="7"/>
      <c r="H118" s="7"/>
      <c r="I118" s="7"/>
      <c r="J118" s="7"/>
      <c r="K118" s="7"/>
      <c r="L118" s="7"/>
      <c r="M118" s="7"/>
      <c r="N118" s="7"/>
      <c r="O118" s="7"/>
      <c r="P118" s="7"/>
      <c r="Q118" s="7"/>
    </row>
    <row r="119" spans="1:17" x14ac:dyDescent="0.3">
      <c r="A119" s="7"/>
      <c r="B119" s="7"/>
      <c r="C119" s="7"/>
      <c r="D119" s="7"/>
      <c r="E119" s="7"/>
      <c r="F119" s="7"/>
      <c r="G119" s="7"/>
      <c r="H119" s="7"/>
      <c r="I119" s="7"/>
      <c r="J119" s="7"/>
      <c r="K119" s="7"/>
      <c r="L119" s="7"/>
      <c r="M119" s="7"/>
      <c r="N119" s="7"/>
      <c r="O119" s="7"/>
      <c r="P119" s="7"/>
      <c r="Q119" s="7"/>
    </row>
    <row r="120" spans="1:17" x14ac:dyDescent="0.3">
      <c r="A120" s="7"/>
      <c r="B120" s="7"/>
      <c r="C120" s="7"/>
      <c r="D120" s="7"/>
      <c r="E120" s="7"/>
      <c r="F120" s="7"/>
      <c r="G120" s="7"/>
      <c r="H120" s="7"/>
      <c r="I120" s="7"/>
      <c r="J120" s="7"/>
      <c r="K120" s="7"/>
      <c r="L120" s="7"/>
      <c r="M120" s="7"/>
      <c r="N120" s="7"/>
      <c r="O120" s="7"/>
      <c r="P120" s="7"/>
      <c r="Q120" s="7"/>
    </row>
    <row r="121" spans="1:17" x14ac:dyDescent="0.3">
      <c r="A121" s="7"/>
      <c r="B121" s="7"/>
      <c r="C121" s="7"/>
      <c r="D121" s="7"/>
      <c r="E121" s="7"/>
      <c r="F121" s="7"/>
      <c r="G121" s="7"/>
      <c r="H121" s="7"/>
      <c r="I121" s="7"/>
      <c r="J121" s="7"/>
      <c r="K121" s="7"/>
      <c r="L121" s="7"/>
      <c r="M121" s="7"/>
      <c r="N121" s="7"/>
      <c r="O121" s="7"/>
      <c r="P121" s="7"/>
      <c r="Q121" s="7"/>
    </row>
    <row r="122" spans="1:17" x14ac:dyDescent="0.3">
      <c r="A122" s="7"/>
      <c r="B122" s="7"/>
      <c r="C122" s="7"/>
      <c r="D122" s="7"/>
      <c r="E122" s="7"/>
      <c r="F122" s="7"/>
      <c r="G122" s="7"/>
      <c r="H122" s="7"/>
      <c r="I122" s="7"/>
      <c r="J122" s="7"/>
      <c r="K122" s="7"/>
      <c r="L122" s="7"/>
      <c r="M122" s="7"/>
      <c r="N122" s="7"/>
      <c r="O122" s="7"/>
      <c r="P122" s="7"/>
      <c r="Q122" s="7"/>
    </row>
    <row r="123" spans="1:17" x14ac:dyDescent="0.3">
      <c r="A123" s="7"/>
      <c r="B123" s="7"/>
      <c r="C123" s="7"/>
      <c r="D123" s="7"/>
      <c r="E123" s="7"/>
      <c r="F123" s="7"/>
      <c r="G123" s="7"/>
      <c r="H123" s="7"/>
      <c r="I123" s="7"/>
      <c r="J123" s="7"/>
      <c r="K123" s="7"/>
      <c r="L123" s="7"/>
      <c r="M123" s="7"/>
      <c r="N123" s="7"/>
      <c r="O123" s="7"/>
      <c r="P123" s="7"/>
      <c r="Q123" s="7"/>
    </row>
    <row r="124" spans="1:17" x14ac:dyDescent="0.3">
      <c r="A124" s="7"/>
      <c r="B124" s="7"/>
      <c r="C124" s="7"/>
      <c r="D124" s="7"/>
      <c r="E124" s="7"/>
      <c r="F124" s="7"/>
      <c r="G124" s="7"/>
      <c r="H124" s="7"/>
      <c r="I124" s="7"/>
      <c r="J124" s="7"/>
      <c r="K124" s="7"/>
      <c r="L124" s="7"/>
      <c r="M124" s="7"/>
      <c r="N124" s="7"/>
      <c r="O124" s="7"/>
      <c r="P124" s="7"/>
      <c r="Q124" s="7"/>
    </row>
    <row r="125" spans="1:17" x14ac:dyDescent="0.3">
      <c r="A125" s="7"/>
      <c r="B125" s="7"/>
      <c r="C125" s="7"/>
      <c r="D125" s="7"/>
      <c r="E125" s="7"/>
      <c r="F125" s="7"/>
      <c r="G125" s="7"/>
      <c r="H125" s="7"/>
      <c r="I125" s="7"/>
      <c r="J125" s="7"/>
      <c r="K125" s="7"/>
      <c r="L125" s="7"/>
      <c r="M125" s="7"/>
      <c r="N125" s="7"/>
      <c r="O125" s="7"/>
      <c r="P125" s="7"/>
      <c r="Q125" s="7"/>
    </row>
    <row r="126" spans="1:17" x14ac:dyDescent="0.3">
      <c r="A126" s="7"/>
      <c r="B126" s="7"/>
      <c r="C126" s="7"/>
      <c r="D126" s="7"/>
      <c r="E126" s="7"/>
      <c r="F126" s="7"/>
      <c r="G126" s="7"/>
      <c r="H126" s="7"/>
      <c r="I126" s="7"/>
      <c r="J126" s="7"/>
      <c r="K126" s="7"/>
      <c r="L126" s="7"/>
      <c r="M126" s="7"/>
      <c r="N126" s="7"/>
      <c r="O126" s="7"/>
      <c r="P126" s="7"/>
      <c r="Q126" s="7"/>
    </row>
    <row r="127" spans="1:17" x14ac:dyDescent="0.3">
      <c r="A127" s="7"/>
      <c r="B127" s="7"/>
      <c r="C127" s="7"/>
      <c r="D127" s="7"/>
      <c r="E127" s="7"/>
      <c r="F127" s="7"/>
      <c r="G127" s="7"/>
      <c r="H127" s="7"/>
      <c r="I127" s="7"/>
      <c r="J127" s="7"/>
      <c r="K127" s="7"/>
      <c r="L127" s="7"/>
      <c r="M127" s="7"/>
      <c r="N127" s="7"/>
      <c r="O127" s="7"/>
      <c r="P127" s="7"/>
      <c r="Q127" s="7"/>
    </row>
    <row r="128" spans="1:17" x14ac:dyDescent="0.3">
      <c r="A128" s="7"/>
      <c r="B128" s="7"/>
      <c r="C128" s="7"/>
      <c r="D128" s="7"/>
      <c r="E128" s="7"/>
      <c r="F128" s="7"/>
      <c r="G128" s="7"/>
      <c r="H128" s="7"/>
      <c r="I128" s="7"/>
      <c r="J128" s="7"/>
      <c r="K128" s="7"/>
      <c r="L128" s="7"/>
      <c r="M128" s="7"/>
      <c r="N128" s="7"/>
      <c r="O128" s="7"/>
      <c r="P128" s="7"/>
      <c r="Q128" s="7"/>
    </row>
    <row r="129" spans="1:17" x14ac:dyDescent="0.3">
      <c r="A129" s="7"/>
      <c r="B129" s="7"/>
      <c r="C129" s="7"/>
      <c r="D129" s="7"/>
      <c r="E129" s="7"/>
      <c r="F129" s="7"/>
      <c r="G129" s="7"/>
      <c r="H129" s="7"/>
      <c r="I129" s="7"/>
      <c r="J129" s="7"/>
      <c r="K129" s="7"/>
      <c r="L129" s="7"/>
      <c r="M129" s="7"/>
      <c r="N129" s="7"/>
      <c r="O129" s="7"/>
      <c r="P129" s="7"/>
      <c r="Q129" s="7"/>
    </row>
    <row r="130" spans="1:17" x14ac:dyDescent="0.3">
      <c r="A130" s="7"/>
      <c r="B130" s="7"/>
      <c r="C130" s="7"/>
      <c r="D130" s="7"/>
      <c r="E130" s="7"/>
      <c r="F130" s="7"/>
      <c r="G130" s="7"/>
      <c r="H130" s="7"/>
      <c r="I130" s="7"/>
      <c r="J130" s="7"/>
      <c r="K130" s="7"/>
      <c r="L130" s="7"/>
      <c r="M130" s="7"/>
      <c r="N130" s="7"/>
      <c r="O130" s="7"/>
      <c r="P130" s="7"/>
      <c r="Q130" s="7"/>
    </row>
    <row r="131" spans="1:17" x14ac:dyDescent="0.3">
      <c r="A131" s="7"/>
      <c r="B131" s="7"/>
      <c r="C131" s="7"/>
      <c r="D131" s="7"/>
      <c r="E131" s="7"/>
      <c r="F131" s="7"/>
      <c r="G131" s="7"/>
      <c r="H131" s="7"/>
      <c r="I131" s="7"/>
      <c r="J131" s="7"/>
      <c r="K131" s="7"/>
      <c r="L131" s="7"/>
      <c r="M131" s="7"/>
      <c r="N131" s="7"/>
      <c r="O131" s="7"/>
      <c r="P131" s="7"/>
      <c r="Q131" s="7"/>
    </row>
    <row r="132" spans="1:17" x14ac:dyDescent="0.3">
      <c r="A132" s="7"/>
      <c r="B132" s="7"/>
      <c r="C132" s="7"/>
      <c r="D132" s="7"/>
      <c r="E132" s="7"/>
      <c r="F132" s="7"/>
      <c r="G132" s="7"/>
      <c r="H132" s="7"/>
      <c r="I132" s="7"/>
      <c r="J132" s="7"/>
      <c r="K132" s="7"/>
      <c r="L132" s="7"/>
      <c r="M132" s="7"/>
      <c r="N132" s="7"/>
      <c r="O132" s="7"/>
      <c r="P132" s="7"/>
      <c r="Q132" s="7"/>
    </row>
    <row r="133" spans="1:17" x14ac:dyDescent="0.3">
      <c r="A133" s="7"/>
      <c r="B133" s="7"/>
      <c r="C133" s="7"/>
      <c r="D133" s="7"/>
      <c r="E133" s="7"/>
      <c r="F133" s="7"/>
      <c r="G133" s="7"/>
      <c r="H133" s="7"/>
      <c r="I133" s="7"/>
      <c r="J133" s="7"/>
      <c r="K133" s="7"/>
      <c r="L133" s="7"/>
      <c r="M133" s="7"/>
      <c r="N133" s="7"/>
      <c r="O133" s="7"/>
      <c r="P133" s="7"/>
      <c r="Q133" s="7"/>
    </row>
    <row r="134" spans="1:17" x14ac:dyDescent="0.3">
      <c r="A134" s="7"/>
      <c r="B134" s="7"/>
      <c r="C134" s="7"/>
      <c r="D134" s="7"/>
      <c r="E134" s="7"/>
      <c r="F134" s="7"/>
      <c r="G134" s="7"/>
      <c r="H134" s="7"/>
      <c r="I134" s="7"/>
      <c r="J134" s="7"/>
      <c r="K134" s="7"/>
      <c r="L134" s="7"/>
      <c r="M134" s="7"/>
      <c r="N134" s="7"/>
      <c r="O134" s="7"/>
      <c r="P134" s="7"/>
      <c r="Q134" s="7"/>
    </row>
    <row r="135" spans="1:17" x14ac:dyDescent="0.3">
      <c r="A135" s="7"/>
      <c r="B135" s="7"/>
      <c r="C135" s="7"/>
      <c r="D135" s="7"/>
      <c r="E135" s="7"/>
      <c r="F135" s="7"/>
      <c r="G135" s="7"/>
      <c r="H135" s="7"/>
      <c r="I135" s="7"/>
      <c r="J135" s="7"/>
      <c r="K135" s="7"/>
      <c r="L135" s="7"/>
      <c r="M135" s="7"/>
      <c r="N135" s="7"/>
      <c r="O135" s="7"/>
      <c r="P135" s="7"/>
      <c r="Q135" s="7"/>
    </row>
    <row r="136" spans="1:17" x14ac:dyDescent="0.3">
      <c r="A136" s="7"/>
      <c r="B136" s="7"/>
      <c r="C136" s="7"/>
      <c r="D136" s="7"/>
      <c r="E136" s="7"/>
      <c r="F136" s="7"/>
      <c r="G136" s="7"/>
      <c r="H136" s="7"/>
      <c r="I136" s="7"/>
      <c r="J136" s="7"/>
      <c r="K136" s="7"/>
      <c r="L136" s="7"/>
      <c r="M136" s="7"/>
      <c r="N136" s="7"/>
      <c r="O136" s="7"/>
      <c r="P136" s="7"/>
      <c r="Q136" s="7"/>
    </row>
    <row r="137" spans="1:17" x14ac:dyDescent="0.3">
      <c r="A137" s="7"/>
      <c r="B137" s="7"/>
      <c r="C137" s="7"/>
      <c r="D137" s="7"/>
      <c r="E137" s="7"/>
      <c r="F137" s="7"/>
      <c r="G137" s="7"/>
      <c r="H137" s="7"/>
      <c r="I137" s="7"/>
      <c r="J137" s="7"/>
      <c r="K137" s="7"/>
      <c r="L137" s="7"/>
      <c r="M137" s="7"/>
      <c r="N137" s="7"/>
      <c r="O137" s="7"/>
      <c r="P137" s="7"/>
      <c r="Q137" s="7"/>
    </row>
    <row r="138" spans="1:17" x14ac:dyDescent="0.3">
      <c r="A138" s="7"/>
      <c r="B138" s="7"/>
      <c r="C138" s="7"/>
      <c r="D138" s="7"/>
      <c r="E138" s="7"/>
      <c r="F138" s="7"/>
      <c r="G138" s="7"/>
      <c r="H138" s="7"/>
      <c r="I138" s="7"/>
      <c r="J138" s="7"/>
      <c r="K138" s="7"/>
      <c r="L138" s="7"/>
      <c r="M138" s="7"/>
      <c r="N138" s="7"/>
      <c r="O138" s="7"/>
      <c r="P138" s="7"/>
      <c r="Q138" s="7"/>
    </row>
    <row r="139" spans="1:17" x14ac:dyDescent="0.3">
      <c r="A139" s="7"/>
      <c r="B139" s="7"/>
      <c r="C139" s="7"/>
      <c r="D139" s="7"/>
      <c r="E139" s="7"/>
      <c r="F139" s="7"/>
      <c r="G139" s="7"/>
      <c r="H139" s="7"/>
      <c r="I139" s="7"/>
      <c r="J139" s="7"/>
      <c r="K139" s="7"/>
      <c r="L139" s="7"/>
      <c r="M139" s="7"/>
      <c r="N139" s="7"/>
      <c r="O139" s="7"/>
      <c r="P139" s="7"/>
      <c r="Q139" s="7"/>
    </row>
    <row r="140" spans="1:17" x14ac:dyDescent="0.3">
      <c r="A140" s="7"/>
      <c r="B140" s="7"/>
      <c r="C140" s="7"/>
      <c r="D140" s="7"/>
      <c r="E140" s="7"/>
      <c r="F140" s="7"/>
      <c r="G140" s="7"/>
      <c r="H140" s="7"/>
      <c r="I140" s="7"/>
      <c r="J140" s="7"/>
      <c r="K140" s="7"/>
      <c r="L140" s="7"/>
      <c r="M140" s="7"/>
      <c r="N140" s="7"/>
      <c r="O140" s="7"/>
      <c r="P140" s="7"/>
      <c r="Q140" s="7"/>
    </row>
    <row r="141" spans="1:17" x14ac:dyDescent="0.3">
      <c r="A141" s="7"/>
      <c r="B141" s="7"/>
      <c r="C141" s="7"/>
      <c r="D141" s="7"/>
      <c r="E141" s="7"/>
      <c r="F141" s="7"/>
      <c r="G141" s="7"/>
      <c r="H141" s="7"/>
      <c r="I141" s="7"/>
      <c r="J141" s="7"/>
      <c r="K141" s="7"/>
      <c r="L141" s="7"/>
      <c r="M141" s="7"/>
      <c r="N141" s="7"/>
      <c r="O141" s="7"/>
      <c r="P141" s="7"/>
      <c r="Q141" s="7"/>
    </row>
    <row r="142" spans="1:17" x14ac:dyDescent="0.3">
      <c r="A142" s="7"/>
      <c r="B142" s="7"/>
      <c r="C142" s="7"/>
      <c r="D142" s="7"/>
      <c r="E142" s="7"/>
      <c r="F142" s="7"/>
      <c r="G142" s="7"/>
      <c r="H142" s="7"/>
      <c r="I142" s="7"/>
      <c r="J142" s="7"/>
      <c r="K142" s="7"/>
      <c r="L142" s="7"/>
      <c r="M142" s="7"/>
      <c r="N142" s="7"/>
      <c r="O142" s="7"/>
      <c r="P142" s="7"/>
      <c r="Q142" s="7"/>
    </row>
    <row r="143" spans="1:17" x14ac:dyDescent="0.3">
      <c r="A143" s="7"/>
      <c r="B143" s="7"/>
      <c r="C143" s="7"/>
      <c r="D143" s="7"/>
      <c r="E143" s="7"/>
      <c r="F143" s="7"/>
      <c r="G143" s="7"/>
      <c r="H143" s="7"/>
      <c r="I143" s="7"/>
      <c r="J143" s="7"/>
      <c r="K143" s="7"/>
      <c r="L143" s="7"/>
      <c r="M143" s="7"/>
      <c r="N143" s="7"/>
      <c r="O143" s="7"/>
      <c r="P143" s="7"/>
      <c r="Q143" s="7"/>
    </row>
    <row r="144" spans="1:17" x14ac:dyDescent="0.3">
      <c r="A144" s="7"/>
      <c r="B144" s="7"/>
      <c r="C144" s="7"/>
      <c r="D144" s="7"/>
      <c r="E144" s="7"/>
      <c r="F144" s="7"/>
      <c r="G144" s="7"/>
      <c r="H144" s="7"/>
      <c r="I144" s="7"/>
      <c r="J144" s="7"/>
      <c r="K144" s="7"/>
      <c r="L144" s="7"/>
      <c r="M144" s="7"/>
      <c r="N144" s="7"/>
      <c r="O144" s="7"/>
      <c r="P144" s="7"/>
      <c r="Q144" s="7"/>
    </row>
    <row r="145" spans="1:17" x14ac:dyDescent="0.3">
      <c r="A145" s="7"/>
      <c r="B145" s="7"/>
      <c r="C145" s="7"/>
      <c r="D145" s="7"/>
      <c r="E145" s="7"/>
      <c r="F145" s="7"/>
      <c r="G145" s="7"/>
      <c r="H145" s="7"/>
      <c r="I145" s="7"/>
      <c r="J145" s="7"/>
      <c r="K145" s="7"/>
      <c r="L145" s="7"/>
      <c r="M145" s="7"/>
      <c r="N145" s="7"/>
      <c r="O145" s="7"/>
      <c r="P145" s="7"/>
      <c r="Q145" s="7"/>
    </row>
    <row r="146" spans="1:17" x14ac:dyDescent="0.3">
      <c r="A146" s="7"/>
      <c r="B146" s="7"/>
      <c r="C146" s="7"/>
      <c r="D146" s="7"/>
      <c r="E146" s="7"/>
      <c r="F146" s="7"/>
      <c r="G146" s="7"/>
      <c r="H146" s="7"/>
      <c r="I146" s="7"/>
      <c r="J146" s="7"/>
      <c r="K146" s="7"/>
      <c r="L146" s="7"/>
      <c r="M146" s="7"/>
      <c r="N146" s="7"/>
      <c r="O146" s="7"/>
      <c r="P146" s="7"/>
      <c r="Q146" s="7"/>
    </row>
    <row r="147" spans="1:17" x14ac:dyDescent="0.3">
      <c r="A147" s="7"/>
      <c r="B147" s="7"/>
      <c r="C147" s="7"/>
      <c r="D147" s="7"/>
      <c r="E147" s="7"/>
      <c r="F147" s="7"/>
      <c r="G147" s="7"/>
      <c r="H147" s="7"/>
      <c r="I147" s="7"/>
      <c r="J147" s="7"/>
      <c r="K147" s="7"/>
      <c r="L147" s="7"/>
      <c r="M147" s="7"/>
      <c r="N147" s="7"/>
      <c r="O147" s="7"/>
      <c r="P147" s="7"/>
      <c r="Q147" s="7"/>
    </row>
    <row r="148" spans="1:17" x14ac:dyDescent="0.3">
      <c r="A148" s="7"/>
      <c r="B148" s="7"/>
      <c r="C148" s="7"/>
      <c r="D148" s="7"/>
      <c r="E148" s="7"/>
      <c r="F148" s="7"/>
      <c r="G148" s="7"/>
      <c r="H148" s="7"/>
      <c r="I148" s="7"/>
      <c r="J148" s="7"/>
      <c r="K148" s="7"/>
      <c r="L148" s="7"/>
      <c r="M148" s="7"/>
      <c r="N148" s="7"/>
      <c r="O148" s="7"/>
      <c r="P148" s="7"/>
      <c r="Q148" s="7"/>
    </row>
    <row r="149" spans="1:17" x14ac:dyDescent="0.3">
      <c r="A149" s="7"/>
      <c r="B149" s="7"/>
      <c r="C149" s="7"/>
      <c r="D149" s="7"/>
      <c r="E149" s="7"/>
      <c r="F149" s="7"/>
      <c r="G149" s="7"/>
      <c r="H149" s="7"/>
      <c r="I149" s="7"/>
      <c r="J149" s="7"/>
      <c r="K149" s="7"/>
      <c r="L149" s="7"/>
      <c r="M149" s="7"/>
      <c r="N149" s="7"/>
      <c r="O149" s="7"/>
      <c r="P149" s="7"/>
      <c r="Q149" s="7"/>
    </row>
    <row r="150" spans="1:17" x14ac:dyDescent="0.3">
      <c r="A150" s="7"/>
      <c r="B150" s="7"/>
      <c r="C150" s="7"/>
      <c r="D150" s="7"/>
      <c r="E150" s="7"/>
      <c r="F150" s="7"/>
      <c r="G150" s="7"/>
      <c r="H150" s="7"/>
      <c r="I150" s="7"/>
      <c r="J150" s="7"/>
      <c r="K150" s="7"/>
      <c r="L150" s="7"/>
      <c r="M150" s="7"/>
      <c r="N150" s="7"/>
      <c r="O150" s="7"/>
      <c r="P150" s="7"/>
      <c r="Q150" s="7"/>
    </row>
    <row r="151" spans="1:17" x14ac:dyDescent="0.3">
      <c r="A151" s="7"/>
      <c r="B151" s="7"/>
      <c r="C151" s="7"/>
      <c r="D151" s="7"/>
      <c r="E151" s="7"/>
      <c r="F151" s="7"/>
      <c r="G151" s="7"/>
      <c r="H151" s="7"/>
      <c r="I151" s="7"/>
      <c r="J151" s="7"/>
      <c r="K151" s="7"/>
      <c r="L151" s="7"/>
      <c r="M151" s="7"/>
      <c r="N151" s="7"/>
      <c r="O151" s="7"/>
      <c r="P151" s="7"/>
      <c r="Q151" s="7"/>
    </row>
    <row r="152" spans="1:17" x14ac:dyDescent="0.3">
      <c r="A152" s="7"/>
      <c r="B152" s="7"/>
      <c r="C152" s="7"/>
      <c r="D152" s="7"/>
      <c r="E152" s="7"/>
      <c r="F152" s="7"/>
      <c r="G152" s="7"/>
      <c r="H152" s="7"/>
      <c r="I152" s="7"/>
      <c r="J152" s="7"/>
      <c r="K152" s="7"/>
      <c r="L152" s="7"/>
      <c r="M152" s="7"/>
      <c r="N152" s="7"/>
      <c r="O152" s="7"/>
      <c r="P152" s="7"/>
      <c r="Q152" s="7"/>
    </row>
    <row r="153" spans="1:17" x14ac:dyDescent="0.3">
      <c r="A153" s="7"/>
      <c r="B153" s="7"/>
      <c r="C153" s="7"/>
      <c r="D153" s="7"/>
      <c r="E153" s="7"/>
      <c r="F153" s="7"/>
      <c r="G153" s="7"/>
      <c r="H153" s="7"/>
      <c r="I153" s="7"/>
      <c r="J153" s="7"/>
      <c r="K153" s="7"/>
      <c r="L153" s="7"/>
      <c r="M153" s="7"/>
      <c r="N153" s="7"/>
      <c r="O153" s="7"/>
      <c r="P153" s="7"/>
      <c r="Q153" s="7"/>
    </row>
    <row r="154" spans="1:17" x14ac:dyDescent="0.3">
      <c r="A154" s="7"/>
      <c r="B154" s="7"/>
      <c r="C154" s="7"/>
      <c r="D154" s="7"/>
      <c r="E154" s="7"/>
      <c r="F154" s="7"/>
      <c r="G154" s="7"/>
      <c r="H154" s="7"/>
      <c r="I154" s="7"/>
      <c r="J154" s="7"/>
      <c r="K154" s="7"/>
      <c r="L154" s="7"/>
      <c r="M154" s="7"/>
      <c r="N154" s="7"/>
      <c r="O154" s="7"/>
      <c r="P154" s="7"/>
      <c r="Q154" s="7"/>
    </row>
    <row r="155" spans="1:17" x14ac:dyDescent="0.3">
      <c r="A155" s="7"/>
      <c r="B155" s="7"/>
      <c r="C155" s="7"/>
      <c r="D155" s="7"/>
      <c r="E155" s="7"/>
      <c r="F155" s="7"/>
      <c r="G155" s="7"/>
      <c r="H155" s="7"/>
      <c r="I155" s="7"/>
      <c r="J155" s="7"/>
      <c r="K155" s="7"/>
      <c r="L155" s="7"/>
      <c r="M155" s="7"/>
      <c r="N155" s="7"/>
      <c r="O155" s="7"/>
      <c r="P155" s="7"/>
      <c r="Q155" s="7"/>
    </row>
    <row r="156" spans="1:17" x14ac:dyDescent="0.3">
      <c r="A156" s="7"/>
      <c r="B156" s="7"/>
      <c r="C156" s="7"/>
      <c r="D156" s="7"/>
      <c r="E156" s="7"/>
      <c r="F156" s="7"/>
      <c r="G156" s="7"/>
      <c r="H156" s="7"/>
      <c r="I156" s="7"/>
      <c r="J156" s="7"/>
      <c r="K156" s="7"/>
      <c r="L156" s="7"/>
      <c r="M156" s="7"/>
      <c r="N156" s="7"/>
      <c r="O156" s="7"/>
      <c r="P156" s="7"/>
      <c r="Q156" s="7"/>
    </row>
    <row r="157" spans="1:17" x14ac:dyDescent="0.3">
      <c r="A157" s="7"/>
      <c r="B157" s="7"/>
      <c r="C157" s="7"/>
      <c r="D157" s="7"/>
      <c r="E157" s="7"/>
      <c r="F157" s="7"/>
      <c r="G157" s="7"/>
      <c r="H157" s="7"/>
      <c r="I157" s="7"/>
      <c r="J157" s="7"/>
      <c r="K157" s="7"/>
      <c r="L157" s="7"/>
      <c r="M157" s="7"/>
      <c r="N157" s="7"/>
      <c r="O157" s="7"/>
      <c r="P157" s="7"/>
      <c r="Q157" s="7"/>
    </row>
    <row r="158" spans="1:17" x14ac:dyDescent="0.3">
      <c r="A158" s="7"/>
      <c r="B158" s="7"/>
      <c r="C158" s="7"/>
      <c r="D158" s="7"/>
      <c r="E158" s="7"/>
      <c r="F158" s="7"/>
      <c r="G158" s="7"/>
      <c r="H158" s="7"/>
      <c r="I158" s="7"/>
      <c r="J158" s="7"/>
      <c r="K158" s="7"/>
      <c r="L158" s="7"/>
      <c r="M158" s="7"/>
      <c r="N158" s="7"/>
      <c r="O158" s="7"/>
      <c r="P158" s="7"/>
      <c r="Q158" s="7"/>
    </row>
    <row r="159" spans="1:17" x14ac:dyDescent="0.3">
      <c r="A159" s="7"/>
      <c r="B159" s="7"/>
      <c r="C159" s="7"/>
      <c r="D159" s="7"/>
      <c r="E159" s="7"/>
      <c r="F159" s="7"/>
      <c r="G159" s="7"/>
      <c r="H159" s="7"/>
      <c r="I159" s="7"/>
      <c r="J159" s="7"/>
      <c r="K159" s="7"/>
      <c r="L159" s="7"/>
      <c r="M159" s="7"/>
      <c r="N159" s="7"/>
      <c r="O159" s="7"/>
      <c r="P159" s="7"/>
      <c r="Q159" s="7"/>
    </row>
  </sheetData>
  <sheetProtection algorithmName="SHA-512" hashValue="L0pqPVUNIBo94EJwQ7XEgBQXhs3pSP6JqArbDlqk7D6zooKJny2joR9zP5PDzwUrhhfgva2KaFAO1gbFtCrTQA==" saltValue="ACGv3r9vKjIFv83nP8PWUw==" spinCount="100000" sheet="1" selectLockedCells="1"/>
  <mergeCells count="63">
    <mergeCell ref="L14:N14"/>
    <mergeCell ref="L15:N15"/>
    <mergeCell ref="L7:N7"/>
    <mergeCell ref="L8:N8"/>
    <mergeCell ref="L9:N9"/>
    <mergeCell ref="L10:N10"/>
    <mergeCell ref="L11:N11"/>
    <mergeCell ref="L12:N12"/>
    <mergeCell ref="L13:N13"/>
    <mergeCell ref="I13:J13"/>
    <mergeCell ref="I14:J14"/>
    <mergeCell ref="I15:J15"/>
    <mergeCell ref="I7:J7"/>
    <mergeCell ref="I8:J8"/>
    <mergeCell ref="I9:J9"/>
    <mergeCell ref="I10:J10"/>
    <mergeCell ref="I11:J11"/>
    <mergeCell ref="I12:J12"/>
    <mergeCell ref="G7:H7"/>
    <mergeCell ref="G8:H8"/>
    <mergeCell ref="G9:H9"/>
    <mergeCell ref="G10:H10"/>
    <mergeCell ref="G11:H11"/>
    <mergeCell ref="E14:F14"/>
    <mergeCell ref="E15:F15"/>
    <mergeCell ref="G12:H12"/>
    <mergeCell ref="G13:H13"/>
    <mergeCell ref="G14:H14"/>
    <mergeCell ref="G15:H15"/>
    <mergeCell ref="E10:F10"/>
    <mergeCell ref="C13:D13"/>
    <mergeCell ref="C14:D14"/>
    <mergeCell ref="C15:D15"/>
    <mergeCell ref="C7:D7"/>
    <mergeCell ref="C8:D8"/>
    <mergeCell ref="C9:D9"/>
    <mergeCell ref="C10:D10"/>
    <mergeCell ref="C11:D11"/>
    <mergeCell ref="C12:D12"/>
    <mergeCell ref="E7:F7"/>
    <mergeCell ref="E8:F8"/>
    <mergeCell ref="E9:F9"/>
    <mergeCell ref="E11:F11"/>
    <mergeCell ref="E12:F12"/>
    <mergeCell ref="E13:F13"/>
    <mergeCell ref="A13:B13"/>
    <mergeCell ref="A14:B14"/>
    <mergeCell ref="A15:B15"/>
    <mergeCell ref="A7:B7"/>
    <mergeCell ref="A8:B8"/>
    <mergeCell ref="A9:B9"/>
    <mergeCell ref="A10:B10"/>
    <mergeCell ref="A11:B11"/>
    <mergeCell ref="A12:B12"/>
    <mergeCell ref="C5:D6"/>
    <mergeCell ref="A1:N2"/>
    <mergeCell ref="A3:N4"/>
    <mergeCell ref="A5:B6"/>
    <mergeCell ref="I5:J6"/>
    <mergeCell ref="L5:N6"/>
    <mergeCell ref="E5:F6"/>
    <mergeCell ref="G5:H6"/>
    <mergeCell ref="K5:K6"/>
  </mergeCells>
  <conditionalFormatting sqref="L7:N15">
    <cfRule type="containsText" dxfId="6" priority="1" operator="containsText" text="NOT">
      <formula>NOT(ISERROR(SEARCH("NOT",L7)))</formula>
    </cfRule>
  </conditionalFormatting>
  <dataValidations count="1">
    <dataValidation type="list" allowBlank="1" showInputMessage="1" showErrorMessage="1" sqref="C7:D15 G7:K15" xr:uid="{B238DEB8-153D-49F8-A089-E463C6FC8C58}">
      <formula1>$R$1:$R$2</formula1>
    </dataValidation>
  </dataValidation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249977111117893"/>
    <pageSetUpPr fitToPage="1"/>
  </sheetPr>
  <dimension ref="A1:P57"/>
  <sheetViews>
    <sheetView workbookViewId="0">
      <pane ySplit="2" topLeftCell="A3" activePane="bottomLeft" state="frozen"/>
      <selection activeCell="A25" sqref="A25:C25"/>
      <selection pane="bottomLeft" activeCell="Q1" sqref="Q1"/>
    </sheetView>
  </sheetViews>
  <sheetFormatPr defaultColWidth="9.109375" defaultRowHeight="14.4" x14ac:dyDescent="0.3"/>
  <cols>
    <col min="1" max="1" width="51.109375" style="14" hidden="1" customWidth="1"/>
    <col min="2" max="2" width="23.44140625" style="22" hidden="1" customWidth="1"/>
    <col min="3" max="3" width="15.33203125" style="15" hidden="1" customWidth="1"/>
    <col min="4" max="4" width="60" style="14" hidden="1" customWidth="1"/>
    <col min="5" max="5" width="5.21875" style="13" hidden="1" customWidth="1"/>
    <col min="6" max="6" width="19.5546875" style="13" hidden="1" customWidth="1"/>
    <col min="7" max="7" width="9.109375" style="13" hidden="1" customWidth="1"/>
    <col min="8" max="8" width="2" style="13" hidden="1" customWidth="1"/>
    <col min="9" max="9" width="3.109375" style="13" hidden="1" customWidth="1"/>
    <col min="10" max="10" width="3.88671875" style="13" hidden="1" customWidth="1"/>
    <col min="11" max="11" width="4.5546875" style="13" hidden="1" customWidth="1"/>
    <col min="12" max="12" width="11.6640625" style="13" hidden="1" customWidth="1"/>
    <col min="13" max="13" width="11.109375" style="13" hidden="1" customWidth="1"/>
    <col min="14" max="16" width="9.109375" style="13" hidden="1" customWidth="1"/>
    <col min="17" max="21" width="9.109375" style="13" customWidth="1"/>
    <col min="22" max="16384" width="9.109375" style="13"/>
  </cols>
  <sheetData>
    <row r="1" spans="1:13" ht="24" customHeight="1" x14ac:dyDescent="0.3">
      <c r="A1" s="554" t="s">
        <v>161</v>
      </c>
      <c r="B1" s="555"/>
      <c r="C1" s="555"/>
      <c r="D1" s="556"/>
      <c r="G1" s="13" t="s">
        <v>63</v>
      </c>
      <c r="I1" s="13">
        <v>1</v>
      </c>
      <c r="L1" s="220" t="s">
        <v>171</v>
      </c>
      <c r="M1" s="203">
        <f>ROUND(D55,2)</f>
        <v>366</v>
      </c>
    </row>
    <row r="2" spans="1:13" ht="48" customHeight="1" thickBot="1" x14ac:dyDescent="0.35">
      <c r="A2" s="61" t="s">
        <v>25</v>
      </c>
      <c r="B2" s="88" t="s">
        <v>65</v>
      </c>
      <c r="C2" s="56"/>
      <c r="D2" s="62" t="s">
        <v>24</v>
      </c>
      <c r="E2" s="218"/>
      <c r="F2" s="56" t="s">
        <v>26</v>
      </c>
      <c r="G2" s="218" t="s">
        <v>64</v>
      </c>
      <c r="H2" s="218"/>
      <c r="I2" s="218">
        <v>0</v>
      </c>
      <c r="J2" s="218"/>
      <c r="L2" s="220" t="s">
        <v>172</v>
      </c>
      <c r="M2" s="203">
        <f>ROUND(M1*1.655,0)</f>
        <v>606</v>
      </c>
    </row>
    <row r="3" spans="1:13" ht="14.55" customHeight="1" x14ac:dyDescent="0.3">
      <c r="A3" s="565" t="s">
        <v>27</v>
      </c>
      <c r="B3" s="568">
        <f>'Initiation &amp; Maintenance'!D5</f>
        <v>0</v>
      </c>
      <c r="C3" s="571">
        <f>B50*B3</f>
        <v>0</v>
      </c>
      <c r="D3" s="51" t="s">
        <v>69</v>
      </c>
      <c r="F3" s="540">
        <f>B50*B3</f>
        <v>0</v>
      </c>
      <c r="L3" s="220" t="s">
        <v>173</v>
      </c>
      <c r="M3" s="203">
        <f>ROUND(M1*1.82,0)</f>
        <v>666</v>
      </c>
    </row>
    <row r="4" spans="1:13" x14ac:dyDescent="0.3">
      <c r="A4" s="566"/>
      <c r="B4" s="569"/>
      <c r="C4" s="572"/>
      <c r="D4" s="51" t="s">
        <v>232</v>
      </c>
      <c r="F4" s="541"/>
    </row>
    <row r="5" spans="1:13" x14ac:dyDescent="0.3">
      <c r="A5" s="566"/>
      <c r="B5" s="569"/>
      <c r="C5" s="572"/>
      <c r="D5" s="51" t="s">
        <v>233</v>
      </c>
      <c r="F5" s="541"/>
    </row>
    <row r="6" spans="1:13" x14ac:dyDescent="0.3">
      <c r="A6" s="566"/>
      <c r="B6" s="569"/>
      <c r="C6" s="572"/>
      <c r="D6" s="51" t="s">
        <v>70</v>
      </c>
      <c r="F6" s="541"/>
    </row>
    <row r="7" spans="1:13" ht="15" thickBot="1" x14ac:dyDescent="0.35">
      <c r="A7" s="567"/>
      <c r="B7" s="570"/>
      <c r="C7" s="573"/>
      <c r="D7" s="52" t="s">
        <v>71</v>
      </c>
      <c r="E7" s="218"/>
      <c r="F7" s="542"/>
      <c r="G7" s="218"/>
      <c r="H7" s="218"/>
      <c r="I7" s="218"/>
      <c r="J7" s="218"/>
    </row>
    <row r="8" spans="1:13" ht="15.75" customHeight="1" x14ac:dyDescent="0.3">
      <c r="A8" s="574" t="s">
        <v>28</v>
      </c>
      <c r="B8" s="568">
        <f>'Initiation &amp; Maintenance'!D6</f>
        <v>0</v>
      </c>
      <c r="C8" s="575">
        <f>2*B50*B8</f>
        <v>0</v>
      </c>
      <c r="D8" s="51" t="s">
        <v>69</v>
      </c>
      <c r="F8" s="543">
        <f>2*B50*B8</f>
        <v>0</v>
      </c>
    </row>
    <row r="9" spans="1:13" x14ac:dyDescent="0.3">
      <c r="A9" s="566"/>
      <c r="B9" s="569"/>
      <c r="C9" s="576"/>
      <c r="D9" s="51" t="s">
        <v>232</v>
      </c>
      <c r="F9" s="544"/>
    </row>
    <row r="10" spans="1:13" x14ac:dyDescent="0.3">
      <c r="A10" s="566"/>
      <c r="B10" s="569"/>
      <c r="C10" s="576"/>
      <c r="D10" s="51" t="s">
        <v>233</v>
      </c>
      <c r="F10" s="544"/>
    </row>
    <row r="11" spans="1:13" x14ac:dyDescent="0.3">
      <c r="A11" s="566"/>
      <c r="B11" s="569"/>
      <c r="C11" s="576"/>
      <c r="D11" s="51" t="s">
        <v>70</v>
      </c>
      <c r="F11" s="544"/>
    </row>
    <row r="12" spans="1:13" x14ac:dyDescent="0.3">
      <c r="A12" s="567"/>
      <c r="B12" s="570"/>
      <c r="C12" s="577"/>
      <c r="D12" s="52" t="s">
        <v>71</v>
      </c>
      <c r="E12" s="218"/>
      <c r="F12" s="544"/>
      <c r="G12" s="218"/>
      <c r="H12" s="218"/>
      <c r="I12" s="218"/>
      <c r="J12" s="218"/>
    </row>
    <row r="13" spans="1:13" ht="17.399999999999999" customHeight="1" x14ac:dyDescent="0.3">
      <c r="A13" s="49" t="s">
        <v>29</v>
      </c>
      <c r="B13" s="114">
        <v>3</v>
      </c>
      <c r="C13" s="229">
        <f>ROUND(SUM((B50*0.083*7)+(B51*0.083*7))*B13,0)</f>
        <v>366</v>
      </c>
      <c r="D13" s="53" t="s">
        <v>72</v>
      </c>
      <c r="F13" s="225">
        <f>ROUND(SUM((B50*0.083*7)+(B51*0.083*7))*B13,0)</f>
        <v>366</v>
      </c>
    </row>
    <row r="14" spans="1:13" x14ac:dyDescent="0.3">
      <c r="A14" s="49" t="s">
        <v>30</v>
      </c>
      <c r="B14" s="114">
        <f>'Initiation &amp; Maintenance'!D7</f>
        <v>0</v>
      </c>
      <c r="C14" s="229">
        <f>B50*B14</f>
        <v>0</v>
      </c>
      <c r="D14" s="53" t="s">
        <v>73</v>
      </c>
      <c r="E14" s="218"/>
      <c r="F14" s="225">
        <f>B50*B14</f>
        <v>0</v>
      </c>
      <c r="G14" s="218"/>
      <c r="H14" s="218"/>
      <c r="I14" s="218"/>
      <c r="J14" s="218"/>
      <c r="L14" s="351" t="s">
        <v>314</v>
      </c>
    </row>
    <row r="15" spans="1:13" x14ac:dyDescent="0.3">
      <c r="A15" s="49" t="s">
        <v>31</v>
      </c>
      <c r="B15" s="114">
        <f>'Initiation &amp; Maintenance'!D8</f>
        <v>0</v>
      </c>
      <c r="C15" s="352">
        <f>B50*E15*3</f>
        <v>0</v>
      </c>
      <c r="D15" s="54" t="s">
        <v>62</v>
      </c>
      <c r="E15" s="219">
        <f>IF(B15="Yes",1,0)</f>
        <v>0</v>
      </c>
      <c r="F15" s="225">
        <f>B50*E15*3</f>
        <v>0</v>
      </c>
      <c r="G15" s="219"/>
      <c r="H15" s="219"/>
      <c r="I15" s="219"/>
      <c r="J15" s="219"/>
    </row>
    <row r="16" spans="1:13" x14ac:dyDescent="0.3">
      <c r="A16" s="49" t="s">
        <v>250</v>
      </c>
      <c r="B16" s="114">
        <f>'Initiation &amp; Maintenance'!D9</f>
        <v>0</v>
      </c>
      <c r="C16" s="352">
        <f>B50*E16*1.5</f>
        <v>0</v>
      </c>
      <c r="D16" s="54" t="s">
        <v>62</v>
      </c>
      <c r="E16" s="219">
        <f t="shared" ref="E16:E19" si="0">IF(B16="Yes",1,0)</f>
        <v>0</v>
      </c>
      <c r="F16" s="225">
        <f>B50*E16*1.5</f>
        <v>0</v>
      </c>
      <c r="G16" s="219"/>
      <c r="H16" s="219"/>
      <c r="I16" s="219"/>
      <c r="J16" s="219"/>
    </row>
    <row r="17" spans="1:12" ht="13.8" hidden="1" customHeight="1" x14ac:dyDescent="0.3">
      <c r="A17" s="49" t="s">
        <v>32</v>
      </c>
      <c r="B17" s="114" t="s">
        <v>64</v>
      </c>
      <c r="C17" s="229">
        <f>B50*0.5*E17</f>
        <v>0</v>
      </c>
      <c r="D17" s="54" t="s">
        <v>62</v>
      </c>
      <c r="E17" s="13">
        <f t="shared" si="0"/>
        <v>0</v>
      </c>
      <c r="F17" s="225"/>
    </row>
    <row r="18" spans="1:12" hidden="1" x14ac:dyDescent="0.3">
      <c r="A18" s="49" t="s">
        <v>33</v>
      </c>
      <c r="B18" s="114"/>
      <c r="C18" s="229">
        <v>0</v>
      </c>
      <c r="D18" s="54" t="s">
        <v>62</v>
      </c>
      <c r="E18" s="218">
        <f t="shared" si="0"/>
        <v>0</v>
      </c>
      <c r="F18" s="225">
        <v>0</v>
      </c>
      <c r="G18" s="218"/>
      <c r="H18" s="218"/>
      <c r="I18" s="218"/>
      <c r="J18" s="218"/>
    </row>
    <row r="19" spans="1:12" hidden="1" x14ac:dyDescent="0.3">
      <c r="A19" s="50" t="s">
        <v>34</v>
      </c>
      <c r="B19" s="114"/>
      <c r="C19" s="229">
        <v>0</v>
      </c>
      <c r="D19" s="55" t="s">
        <v>62</v>
      </c>
      <c r="E19" s="219">
        <f t="shared" si="0"/>
        <v>0</v>
      </c>
      <c r="F19" s="225">
        <v>0</v>
      </c>
      <c r="G19" s="219"/>
      <c r="H19" s="219"/>
      <c r="I19" s="219"/>
      <c r="J19" s="219"/>
    </row>
    <row r="20" spans="1:12" x14ac:dyDescent="0.3">
      <c r="A20" s="57"/>
      <c r="B20" s="58"/>
      <c r="C20" s="59"/>
      <c r="D20" s="60"/>
      <c r="E20" s="219"/>
      <c r="F20" s="219"/>
      <c r="G20" s="219"/>
      <c r="H20" s="219"/>
      <c r="I20" s="219"/>
      <c r="J20" s="219"/>
    </row>
    <row r="21" spans="1:12" ht="28.8" x14ac:dyDescent="0.3">
      <c r="A21" s="49" t="s">
        <v>229</v>
      </c>
      <c r="B21" s="114">
        <f>'Initiation &amp; Maintenance'!D10</f>
        <v>0</v>
      </c>
      <c r="C21" s="229">
        <f>B21*B50</f>
        <v>0</v>
      </c>
      <c r="D21" s="53" t="s">
        <v>234</v>
      </c>
      <c r="E21" s="219"/>
      <c r="F21" s="224">
        <f>B21*B50</f>
        <v>0</v>
      </c>
      <c r="G21" s="219"/>
      <c r="H21" s="219"/>
      <c r="I21" s="219"/>
      <c r="J21" s="219"/>
    </row>
    <row r="22" spans="1:12" x14ac:dyDescent="0.3">
      <c r="A22" s="49" t="s">
        <v>35</v>
      </c>
      <c r="B22" s="114">
        <f>'Initiation &amp; Maintenance'!D11</f>
        <v>0</v>
      </c>
      <c r="C22" s="352">
        <f>1*B50*E22</f>
        <v>0</v>
      </c>
      <c r="D22" s="54" t="s">
        <v>62</v>
      </c>
      <c r="E22" s="219">
        <f t="shared" ref="E22" si="1">IF(B22="Yes",1,0)</f>
        <v>0</v>
      </c>
      <c r="F22" s="224">
        <f>1*B50*E22</f>
        <v>0</v>
      </c>
      <c r="G22" s="219"/>
      <c r="H22" s="219"/>
      <c r="I22" s="219"/>
      <c r="J22" s="219"/>
    </row>
    <row r="23" spans="1:12" ht="28.8" x14ac:dyDescent="0.3">
      <c r="A23" s="49" t="s">
        <v>315</v>
      </c>
      <c r="B23" s="175">
        <f>'Initiation &amp; Maintenance'!D14</f>
        <v>0</v>
      </c>
      <c r="C23" s="352">
        <f>2*B50*E23</f>
        <v>0</v>
      </c>
      <c r="D23" s="54" t="s">
        <v>62</v>
      </c>
      <c r="E23" s="219">
        <f>IF(B23="Yes",1,0)</f>
        <v>0</v>
      </c>
      <c r="F23" s="224">
        <f>2*B50*E23</f>
        <v>0</v>
      </c>
      <c r="G23" s="219"/>
      <c r="H23" s="219"/>
      <c r="I23" s="219"/>
      <c r="J23" s="219"/>
      <c r="L23" s="351" t="s">
        <v>316</v>
      </c>
    </row>
    <row r="24" spans="1:12" ht="28.8" x14ac:dyDescent="0.3">
      <c r="A24" s="49" t="s">
        <v>36</v>
      </c>
      <c r="B24" s="114">
        <f>'Initiation &amp; Maintenance'!D13</f>
        <v>0</v>
      </c>
      <c r="C24" s="229">
        <f>E24*(B50+B51)</f>
        <v>0</v>
      </c>
      <c r="D24" s="54" t="s">
        <v>62</v>
      </c>
      <c r="E24" s="219">
        <f>IF(B24="Yes",1,0)</f>
        <v>0</v>
      </c>
      <c r="F24" s="224">
        <f>E24*(B50+B51)</f>
        <v>0</v>
      </c>
      <c r="G24" s="219"/>
      <c r="H24" s="219"/>
      <c r="I24" s="219"/>
      <c r="J24" s="219"/>
    </row>
    <row r="25" spans="1:12" ht="21.6" hidden="1" customHeight="1" x14ac:dyDescent="0.3">
      <c r="A25" s="49" t="s">
        <v>37</v>
      </c>
      <c r="B25" s="114"/>
      <c r="C25" s="229">
        <f>B25*0</f>
        <v>0</v>
      </c>
      <c r="D25" s="53" t="s">
        <v>66</v>
      </c>
      <c r="E25" s="219"/>
      <c r="F25" s="224">
        <f>B25*B51*2</f>
        <v>0</v>
      </c>
      <c r="G25" s="219"/>
      <c r="H25" s="219"/>
      <c r="I25" s="219"/>
      <c r="J25" s="219"/>
    </row>
    <row r="26" spans="1:12" ht="23.4" customHeight="1" x14ac:dyDescent="0.3">
      <c r="A26" s="49" t="s">
        <v>38</v>
      </c>
      <c r="B26" s="114">
        <f>'Initiation &amp; Maintenance'!D12</f>
        <v>0</v>
      </c>
      <c r="C26" s="352">
        <f>E26*B50*2</f>
        <v>0</v>
      </c>
      <c r="D26" s="54" t="s">
        <v>62</v>
      </c>
      <c r="E26" s="219">
        <f t="shared" ref="E26:E27" si="2">IF(B26="Yes",1,0)</f>
        <v>0</v>
      </c>
      <c r="F26" s="224">
        <f>E26*B50*2</f>
        <v>0</v>
      </c>
      <c r="G26" s="219"/>
      <c r="H26" s="219"/>
      <c r="I26" s="219"/>
      <c r="J26" s="219"/>
    </row>
    <row r="27" spans="1:12" ht="28.8" x14ac:dyDescent="0.3">
      <c r="A27" s="49" t="s">
        <v>39</v>
      </c>
      <c r="B27" s="114">
        <f>'Initiation &amp; Maintenance'!D15</f>
        <v>0</v>
      </c>
      <c r="C27" s="230">
        <v>0</v>
      </c>
      <c r="D27" s="54" t="s">
        <v>62</v>
      </c>
      <c r="E27" s="219">
        <f t="shared" si="2"/>
        <v>0</v>
      </c>
      <c r="F27" s="223">
        <v>0</v>
      </c>
      <c r="G27" s="219"/>
      <c r="H27" s="219"/>
      <c r="I27" s="219"/>
      <c r="J27" s="219"/>
    </row>
    <row r="28" spans="1:12" ht="43.2" x14ac:dyDescent="0.3">
      <c r="A28" s="49" t="s">
        <v>67</v>
      </c>
      <c r="B28" s="231">
        <f>'Initiation &amp; Maintenance'!D16</f>
        <v>0</v>
      </c>
      <c r="C28" s="232">
        <f>(B50 + (B28-1)*0.5*B50)*E27</f>
        <v>0</v>
      </c>
      <c r="D28" s="233" t="s">
        <v>74</v>
      </c>
      <c r="E28" s="219"/>
      <c r="F28" s="224">
        <f>(B50 + (B28-1)*0.5*B50)*E27</f>
        <v>0</v>
      </c>
      <c r="G28" s="219"/>
      <c r="H28" s="219"/>
      <c r="I28" s="219"/>
      <c r="J28" s="219"/>
    </row>
    <row r="29" spans="1:12" ht="35.4" hidden="1" customHeight="1" x14ac:dyDescent="0.3">
      <c r="A29" s="239" t="s">
        <v>187</v>
      </c>
      <c r="B29" s="545"/>
      <c r="C29" s="546"/>
      <c r="D29" s="547"/>
      <c r="E29" s="219"/>
      <c r="F29" s="223">
        <v>0</v>
      </c>
      <c r="G29" s="219"/>
      <c r="H29" s="219"/>
      <c r="I29" s="219"/>
      <c r="J29" s="219"/>
    </row>
    <row r="30" spans="1:12" x14ac:dyDescent="0.3">
      <c r="A30" s="548"/>
      <c r="B30" s="549"/>
      <c r="C30" s="549"/>
      <c r="D30" s="549"/>
    </row>
    <row r="31" spans="1:12" ht="17.25" customHeight="1" x14ac:dyDescent="0.35">
      <c r="A31" s="559" t="s">
        <v>41</v>
      </c>
      <c r="B31" s="559"/>
      <c r="C31" s="559"/>
      <c r="D31" s="560"/>
      <c r="E31" s="218"/>
      <c r="F31" s="223"/>
      <c r="G31" s="218"/>
      <c r="H31" s="218"/>
      <c r="I31" s="218"/>
      <c r="J31" s="218"/>
    </row>
    <row r="32" spans="1:12" ht="28.8" x14ac:dyDescent="0.3">
      <c r="A32" s="353" t="s">
        <v>188</v>
      </c>
      <c r="B32" s="354">
        <f>'Initiation &amp; Maintenance'!D17</f>
        <v>0</v>
      </c>
      <c r="C32" s="352">
        <v>0</v>
      </c>
      <c r="D32" s="54" t="s">
        <v>62</v>
      </c>
      <c r="E32" s="219">
        <f t="shared" ref="E32" si="3">IF(B32="Yes",1,0)</f>
        <v>0</v>
      </c>
      <c r="F32" s="223">
        <v>0</v>
      </c>
      <c r="G32" s="219"/>
      <c r="H32" s="219"/>
      <c r="I32" s="219"/>
      <c r="J32" s="219"/>
    </row>
    <row r="33" spans="1:12" ht="28.8" x14ac:dyDescent="0.3">
      <c r="A33" s="353" t="s">
        <v>42</v>
      </c>
      <c r="B33" s="354">
        <f>'Initiation &amp; Maintenance'!D18</f>
        <v>0</v>
      </c>
      <c r="C33" s="352">
        <f>IF(B32="",0,IF(B32="Yes",1*B50,0))</f>
        <v>0</v>
      </c>
      <c r="D33" s="53" t="s">
        <v>68</v>
      </c>
      <c r="E33" s="219"/>
      <c r="F33" s="224">
        <f>IF(B32="",0,IF(B32="Yes",1*B50,0))</f>
        <v>0</v>
      </c>
      <c r="G33" s="219"/>
      <c r="H33" s="219"/>
      <c r="I33" s="219"/>
      <c r="J33" s="219"/>
      <c r="L33" s="351" t="s">
        <v>317</v>
      </c>
    </row>
    <row r="34" spans="1:12" ht="15.6" x14ac:dyDescent="0.3">
      <c r="A34" s="562" t="s">
        <v>43</v>
      </c>
      <c r="B34" s="563"/>
      <c r="C34" s="563"/>
      <c r="D34" s="564"/>
      <c r="E34" s="219"/>
      <c r="F34" s="223"/>
      <c r="G34" s="219"/>
      <c r="H34" s="219"/>
      <c r="I34" s="219"/>
      <c r="J34" s="219"/>
    </row>
    <row r="35" spans="1:12" ht="28.8" x14ac:dyDescent="0.3">
      <c r="A35" s="49" t="s">
        <v>231</v>
      </c>
      <c r="B35" s="115"/>
      <c r="C35" s="230">
        <f>E35*0</f>
        <v>0</v>
      </c>
      <c r="D35" s="54" t="s">
        <v>62</v>
      </c>
      <c r="E35" s="219">
        <f t="shared" ref="E35:E37" si="4">IF(B35="Yes",1,0)</f>
        <v>0</v>
      </c>
      <c r="F35" s="224">
        <f>E35*B50</f>
        <v>0</v>
      </c>
      <c r="G35" s="219"/>
      <c r="H35" s="219"/>
      <c r="I35" s="219"/>
      <c r="J35" s="219"/>
    </row>
    <row r="36" spans="1:12" ht="28.8" x14ac:dyDescent="0.3">
      <c r="A36" s="49" t="s">
        <v>44</v>
      </c>
      <c r="B36" s="115">
        <f>'Initiation &amp; Maintenance'!D19</f>
        <v>0</v>
      </c>
      <c r="C36" s="230">
        <f>E36*B50*2</f>
        <v>0</v>
      </c>
      <c r="D36" s="54" t="s">
        <v>62</v>
      </c>
      <c r="E36" s="219">
        <f t="shared" si="4"/>
        <v>0</v>
      </c>
      <c r="F36" s="224">
        <f>2*E36*B50</f>
        <v>0</v>
      </c>
      <c r="G36" s="219"/>
      <c r="H36" s="219"/>
      <c r="I36" s="219"/>
      <c r="J36" s="219"/>
    </row>
    <row r="37" spans="1:12" ht="31.2" customHeight="1" x14ac:dyDescent="0.3">
      <c r="A37" s="49" t="s">
        <v>230</v>
      </c>
      <c r="B37" s="242">
        <f>'Initiation &amp; Maintenance'!D20</f>
        <v>0</v>
      </c>
      <c r="C37" s="243">
        <f>4*E37*B50 + 2*E37*B51</f>
        <v>0</v>
      </c>
      <c r="D37" s="53" t="s">
        <v>75</v>
      </c>
      <c r="E37" s="219">
        <f t="shared" si="4"/>
        <v>0</v>
      </c>
      <c r="F37" s="224">
        <f>4*E37*B50 + 2*E37*B51</f>
        <v>0</v>
      </c>
      <c r="G37" s="219"/>
      <c r="H37" s="219"/>
      <c r="I37" s="219"/>
      <c r="J37" s="219"/>
    </row>
    <row r="38" spans="1:12" ht="10.199999999999999" hidden="1" customHeight="1" x14ac:dyDescent="0.3">
      <c r="A38" s="235" t="s">
        <v>40</v>
      </c>
      <c r="B38" s="551"/>
      <c r="C38" s="552"/>
      <c r="D38" s="553"/>
      <c r="E38" s="219"/>
      <c r="F38" s="223">
        <v>0</v>
      </c>
      <c r="G38" s="219"/>
      <c r="H38" s="219"/>
      <c r="I38" s="219"/>
      <c r="J38" s="219"/>
      <c r="K38" s="234"/>
    </row>
    <row r="39" spans="1:12" x14ac:dyDescent="0.3">
      <c r="A39" s="550"/>
      <c r="B39" s="383"/>
      <c r="C39" s="383"/>
      <c r="D39" s="383"/>
    </row>
    <row r="40" spans="1:12" ht="18.75" customHeight="1" x14ac:dyDescent="0.35">
      <c r="A40" s="559" t="s">
        <v>45</v>
      </c>
      <c r="B40" s="559"/>
      <c r="C40" s="559"/>
      <c r="D40" s="561"/>
      <c r="E40" s="218"/>
      <c r="F40" s="218"/>
      <c r="G40" s="218"/>
      <c r="H40" s="218"/>
      <c r="I40" s="218"/>
      <c r="J40" s="218"/>
    </row>
    <row r="41" spans="1:12" ht="43.2" x14ac:dyDescent="0.3">
      <c r="A41" s="49" t="s">
        <v>46</v>
      </c>
      <c r="B41" s="114">
        <f>'Initiation &amp; Maintenance'!D21</f>
        <v>0</v>
      </c>
      <c r="C41" s="229"/>
      <c r="D41" s="54" t="s">
        <v>62</v>
      </c>
      <c r="E41" s="219"/>
      <c r="F41" s="221">
        <v>0</v>
      </c>
      <c r="G41" s="219"/>
      <c r="H41" s="219"/>
      <c r="I41" s="219"/>
      <c r="J41" s="219"/>
    </row>
    <row r="42" spans="1:12" ht="28.8" x14ac:dyDescent="0.3">
      <c r="A42" s="49" t="s">
        <v>47</v>
      </c>
      <c r="B42" s="114">
        <f>'Initiation &amp; Maintenance'!D22</f>
        <v>0</v>
      </c>
      <c r="C42" s="229">
        <f>B52*B42*3</f>
        <v>0</v>
      </c>
      <c r="D42" s="54" t="s">
        <v>48</v>
      </c>
      <c r="E42" s="219"/>
      <c r="F42" s="226">
        <f>B52*B42*3</f>
        <v>0</v>
      </c>
      <c r="G42" s="219"/>
      <c r="H42" s="219"/>
      <c r="I42" s="219"/>
      <c r="J42" s="219"/>
    </row>
    <row r="43" spans="1:12" ht="72" x14ac:dyDescent="0.3">
      <c r="A43" s="49" t="s">
        <v>49</v>
      </c>
      <c r="B43" s="114">
        <f>'Initiation &amp; Maintenance'!D23</f>
        <v>0</v>
      </c>
      <c r="C43" s="229">
        <f>B50*B43</f>
        <v>0</v>
      </c>
      <c r="D43" s="53" t="s">
        <v>76</v>
      </c>
      <c r="E43" s="219"/>
      <c r="F43" s="226">
        <f>B50*B43</f>
        <v>0</v>
      </c>
      <c r="G43" s="219"/>
      <c r="H43" s="219"/>
      <c r="I43" s="219"/>
      <c r="J43" s="219"/>
    </row>
    <row r="44" spans="1:12" ht="28.8" x14ac:dyDescent="0.3">
      <c r="A44" s="49" t="s">
        <v>50</v>
      </c>
      <c r="B44" s="114">
        <f>'Initiation &amp; Maintenance'!D24</f>
        <v>0</v>
      </c>
      <c r="C44" s="229">
        <f>2*B50*E44</f>
        <v>0</v>
      </c>
      <c r="D44" s="54" t="s">
        <v>62</v>
      </c>
      <c r="E44" s="219">
        <f t="shared" ref="E44:E45" si="5">IF(B44="Yes",1,0)</f>
        <v>0</v>
      </c>
      <c r="F44" s="226">
        <f>2*B50*E44</f>
        <v>0</v>
      </c>
      <c r="G44" s="219"/>
      <c r="H44" s="219"/>
      <c r="I44" s="219"/>
      <c r="J44" s="219"/>
    </row>
    <row r="45" spans="1:12" ht="43.2" x14ac:dyDescent="0.3">
      <c r="A45" s="49" t="s">
        <v>51</v>
      </c>
      <c r="B45" s="236">
        <f>'Initiation &amp; Maintenance'!D25</f>
        <v>0</v>
      </c>
      <c r="C45" s="237">
        <f>4*B50*E45</f>
        <v>0</v>
      </c>
      <c r="D45" s="238" t="s">
        <v>62</v>
      </c>
      <c r="E45" s="219">
        <f t="shared" si="5"/>
        <v>0</v>
      </c>
      <c r="F45" s="226">
        <f>4*B50*E45</f>
        <v>0</v>
      </c>
      <c r="G45" s="219"/>
      <c r="H45" s="219"/>
      <c r="I45" s="219"/>
      <c r="J45" s="219"/>
    </row>
    <row r="46" spans="1:12" ht="88.2" customHeight="1" x14ac:dyDescent="0.3">
      <c r="A46" s="240" t="s">
        <v>187</v>
      </c>
      <c r="B46" s="578"/>
      <c r="C46" s="579"/>
      <c r="D46" s="580"/>
      <c r="F46" s="222">
        <v>0</v>
      </c>
    </row>
    <row r="47" spans="1:12" hidden="1" x14ac:dyDescent="0.3">
      <c r="A47" s="550"/>
      <c r="B47" s="383"/>
      <c r="C47" s="383"/>
      <c r="D47" s="383"/>
    </row>
    <row r="48" spans="1:12" ht="18.75" hidden="1" customHeight="1" x14ac:dyDescent="0.35">
      <c r="A48" s="557" t="s">
        <v>52</v>
      </c>
      <c r="B48" s="557"/>
      <c r="C48" s="557"/>
      <c r="D48" s="16"/>
    </row>
    <row r="49" spans="1:10" ht="15.6" hidden="1" x14ac:dyDescent="0.3">
      <c r="A49" s="17" t="s">
        <v>53</v>
      </c>
      <c r="B49" s="23" t="s">
        <v>54</v>
      </c>
      <c r="C49" s="18"/>
      <c r="D49" s="19"/>
    </row>
    <row r="50" spans="1:10" ht="15.6" hidden="1" x14ac:dyDescent="0.3">
      <c r="A50" s="17" t="s">
        <v>55</v>
      </c>
      <c r="B50" s="24">
        <v>140</v>
      </c>
      <c r="C50" s="18"/>
      <c r="D50" s="20" t="s">
        <v>56</v>
      </c>
    </row>
    <row r="51" spans="1:10" ht="15.6" hidden="1" x14ac:dyDescent="0.3">
      <c r="A51" s="17" t="s">
        <v>57</v>
      </c>
      <c r="B51" s="24">
        <f>56*1.25</f>
        <v>70</v>
      </c>
      <c r="C51" s="18"/>
      <c r="D51" s="20" t="s">
        <v>58</v>
      </c>
    </row>
    <row r="52" spans="1:10" ht="15.6" hidden="1" x14ac:dyDescent="0.3">
      <c r="A52" s="17" t="s">
        <v>59</v>
      </c>
      <c r="B52" s="24">
        <v>140</v>
      </c>
      <c r="C52" s="18"/>
      <c r="D52" s="20" t="s">
        <v>60</v>
      </c>
    </row>
    <row r="53" spans="1:10" hidden="1" x14ac:dyDescent="0.3"/>
    <row r="54" spans="1:10" hidden="1" x14ac:dyDescent="0.3"/>
    <row r="55" spans="1:10" ht="21" hidden="1" x14ac:dyDescent="0.4">
      <c r="A55" s="558" t="s">
        <v>61</v>
      </c>
      <c r="B55" s="558"/>
      <c r="C55" s="21"/>
      <c r="D55" s="21">
        <f>SUM(F3:F19, F21:F29,F32:F38,F41:F46)</f>
        <v>366</v>
      </c>
      <c r="F55" s="228">
        <f>SUM(F3:F54)</f>
        <v>366</v>
      </c>
    </row>
    <row r="56" spans="1:10" hidden="1" x14ac:dyDescent="0.3">
      <c r="E56" s="227"/>
      <c r="F56" s="227"/>
      <c r="G56" s="227"/>
      <c r="H56" s="227"/>
      <c r="I56" s="227"/>
      <c r="J56" s="227"/>
    </row>
    <row r="57" spans="1:10" hidden="1" x14ac:dyDescent="0.3">
      <c r="A57" s="241"/>
      <c r="E57" s="227"/>
      <c r="F57" s="227"/>
      <c r="G57" s="227"/>
      <c r="H57" s="227"/>
      <c r="I57" s="227"/>
      <c r="J57" s="227"/>
    </row>
  </sheetData>
  <sheetProtection algorithmName="SHA-512" hashValue="eC2ooM9Eo2ag3tCrAZTQhtQWVGdfGFhsc16ehj97fTYDDbPgvrUCqHjgUK0ZRMvaYrqirLctWtwxweEJV2G4vQ==" saltValue="ooHgDzxlyExYmJZeFb0vYg==" spinCount="100000" sheet="1" selectLockedCells="1"/>
  <mergeCells count="20">
    <mergeCell ref="A1:D1"/>
    <mergeCell ref="A48:C48"/>
    <mergeCell ref="A55:B55"/>
    <mergeCell ref="A31:D31"/>
    <mergeCell ref="A40:D40"/>
    <mergeCell ref="A34:D34"/>
    <mergeCell ref="A3:A7"/>
    <mergeCell ref="B3:B7"/>
    <mergeCell ref="C3:C7"/>
    <mergeCell ref="A8:A12"/>
    <mergeCell ref="B8:B12"/>
    <mergeCell ref="C8:C12"/>
    <mergeCell ref="B46:D46"/>
    <mergeCell ref="A47:D47"/>
    <mergeCell ref="F3:F7"/>
    <mergeCell ref="F8:F12"/>
    <mergeCell ref="B29:D29"/>
    <mergeCell ref="A30:D30"/>
    <mergeCell ref="A39:D39"/>
    <mergeCell ref="B38:D38"/>
  </mergeCells>
  <conditionalFormatting sqref="A1 E1:XFD1 D48:XFD48 D50:XFD50 E55:XFD55 A3:B3 A49:XFD49 A51:XFD54 A56:XFD1048576 A34 E34:XFD34 E8:XFD8 A32:XFD33 A35:XFD37 A13:XFD22 A25:XFD28 C23:XFD23 A23:A24 A41:XFD45 A2:XFD2 D3:E7 E9:E12 G9:XFD12 G3:XFD7 A29:A31 E29:XFD31 B29 A38:A39 E38:XFD40 B38 A47 E46:XFD47 A46:B46 B24:XFD24 A8:C8">
    <cfRule type="containsText" dxfId="5" priority="6" operator="containsText" text="No selection required">
      <formula>NOT(ISERROR(SEARCH("No selection required",A1)))</formula>
    </cfRule>
  </conditionalFormatting>
  <conditionalFormatting sqref="A40">
    <cfRule type="containsText" dxfId="4" priority="5" operator="containsText" text="No selection required">
      <formula>NOT(ISERROR(SEARCH("No selection required",A40)))</formula>
    </cfRule>
  </conditionalFormatting>
  <conditionalFormatting sqref="A55">
    <cfRule type="containsText" dxfId="3" priority="4" operator="containsText" text="No selection required">
      <formula>NOT(ISERROR(SEARCH("No selection required",A55)))</formula>
    </cfRule>
  </conditionalFormatting>
  <conditionalFormatting sqref="A48">
    <cfRule type="containsText" dxfId="2" priority="3" operator="containsText" text="No selection required">
      <formula>NOT(ISERROR(SEARCH("No selection required",A48)))</formula>
    </cfRule>
  </conditionalFormatting>
  <conditionalFormatting sqref="D8:D12">
    <cfRule type="containsText" dxfId="1" priority="1" operator="containsText" text="No selection required">
      <formula>NOT(ISERROR(SEARCH("No selection required",D8)))</formula>
    </cfRule>
  </conditionalFormatting>
  <dataValidations count="1">
    <dataValidation allowBlank="1" showInputMessage="1" showErrorMessage="1" error="Yes or No" sqref="B35:B37" xr:uid="{D57746A4-BE45-4816-9F8D-C8E450D12728}"/>
  </dataValidations>
  <pageMargins left="0.7" right="0.7" top="0.75" bottom="0.75" header="0.3" footer="0.3"/>
  <pageSetup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249977111117893"/>
    <pageSetUpPr fitToPage="1"/>
  </sheetPr>
  <dimension ref="A1:AF35"/>
  <sheetViews>
    <sheetView workbookViewId="0">
      <pane xSplit="4" ySplit="7" topLeftCell="E8" activePane="bottomRight" state="frozen"/>
      <selection activeCell="A25" sqref="A25:C25"/>
      <selection pane="topRight" activeCell="A25" sqref="A25:C25"/>
      <selection pane="bottomLeft" activeCell="A25" sqref="A25:C25"/>
      <selection pane="bottomRight" activeCell="AO13" sqref="AO13"/>
    </sheetView>
  </sheetViews>
  <sheetFormatPr defaultColWidth="8.77734375" defaultRowHeight="14.4" x14ac:dyDescent="0.3"/>
  <cols>
    <col min="1" max="1" width="25.77734375" hidden="1" customWidth="1"/>
    <col min="2" max="2" width="25.77734375" style="9" hidden="1" customWidth="1"/>
    <col min="3" max="3" width="25.77734375" style="308" hidden="1" customWidth="1"/>
    <col min="4" max="4" width="25.77734375" style="25" hidden="1" customWidth="1"/>
    <col min="5" max="5" width="4" style="25" hidden="1" customWidth="1"/>
    <col min="6" max="7" width="11" style="28" hidden="1" customWidth="1"/>
    <col min="8" max="11" width="8.77734375" style="28" hidden="1" customWidth="1"/>
    <col min="12" max="12" width="4" style="25" hidden="1" customWidth="1"/>
    <col min="13" max="13" width="3" style="25" hidden="1" customWidth="1"/>
    <col min="14" max="14" width="8.77734375" hidden="1" customWidth="1"/>
    <col min="15" max="15" width="13.77734375" hidden="1" customWidth="1"/>
    <col min="16" max="16" width="8.77734375" hidden="1" customWidth="1"/>
    <col min="17" max="17" width="5.109375" hidden="1" customWidth="1"/>
    <col min="18" max="18" width="3.109375" hidden="1" customWidth="1"/>
    <col min="19" max="20" width="8.77734375" style="9" hidden="1" customWidth="1"/>
    <col min="21" max="24" width="8.77734375" hidden="1" customWidth="1"/>
    <col min="25" max="25" width="11.6640625" hidden="1" customWidth="1"/>
    <col min="26" max="29" width="8.77734375" hidden="1" customWidth="1"/>
    <col min="30" max="30" width="11.6640625" hidden="1" customWidth="1"/>
    <col min="31" max="31" width="10.109375" hidden="1" customWidth="1"/>
    <col min="32" max="32" width="11.6640625" hidden="1" customWidth="1"/>
    <col min="33" max="69" width="8.77734375" customWidth="1"/>
  </cols>
  <sheetData>
    <row r="1" spans="1:32" ht="12" customHeight="1" x14ac:dyDescent="0.3">
      <c r="A1" s="584" t="s">
        <v>132</v>
      </c>
      <c r="B1" s="584"/>
      <c r="C1" s="584"/>
      <c r="D1" s="584"/>
      <c r="E1" s="37"/>
      <c r="L1" s="30"/>
      <c r="M1" s="27">
        <v>1</v>
      </c>
      <c r="N1" s="27" t="s">
        <v>101</v>
      </c>
      <c r="O1" s="27" t="s">
        <v>93</v>
      </c>
      <c r="P1" s="27" t="s">
        <v>101</v>
      </c>
      <c r="Q1" s="9">
        <v>1</v>
      </c>
      <c r="R1" s="29"/>
      <c r="S1" s="27" t="s">
        <v>105</v>
      </c>
      <c r="T1" s="9">
        <v>3</v>
      </c>
      <c r="U1">
        <v>4</v>
      </c>
      <c r="W1" t="s">
        <v>63</v>
      </c>
      <c r="X1" s="11" t="str">
        <f>IF(K4=0,"",IF(K4&lt;3,"Tier 1",IF(K4&lt;5,"Tier 2",IF(K4&lt;7,"Tier 3",IF(K4&lt;9,"Tier 4",IF(K4&lt;12,"Tier 5","Tier 6"))))))</f>
        <v/>
      </c>
      <c r="Y1" s="65" t="str">
        <f>IF(X1="","",IF(AC1="Non-Industry",VLOOKUP(X1,AC11:AD16,2,FALSE)*'Protocol Cover Sheet'!Q16,IF(AC1="Industry",VLOOKUP(X1,AC11:AE16,3,FALSE)*'Protocol Cover Sheet'!Q16,IF(AC1="External",VLOOKUP(X1,AC11:AF16,4,FALSE)*'Protocol Cover Sheet'!Q16,0))))</f>
        <v/>
      </c>
      <c r="AC1" s="40">
        <f>'Estimate Details'!C1</f>
        <v>0</v>
      </c>
    </row>
    <row r="2" spans="1:32" ht="9.4499999999999993" customHeight="1" x14ac:dyDescent="0.3">
      <c r="A2" s="585"/>
      <c r="B2" s="585"/>
      <c r="C2" s="585"/>
      <c r="D2" s="585"/>
      <c r="E2" s="37"/>
      <c r="L2" s="30"/>
      <c r="M2" s="27">
        <v>2</v>
      </c>
      <c r="N2" s="27" t="s">
        <v>102</v>
      </c>
      <c r="O2" s="27" t="s">
        <v>107</v>
      </c>
      <c r="P2" s="27" t="s">
        <v>93</v>
      </c>
      <c r="Q2" s="9">
        <v>2</v>
      </c>
      <c r="R2" s="29"/>
      <c r="S2" s="27" t="s">
        <v>106</v>
      </c>
      <c r="T2" s="9">
        <v>5</v>
      </c>
      <c r="U2">
        <v>6</v>
      </c>
      <c r="W2" t="s">
        <v>64</v>
      </c>
    </row>
    <row r="3" spans="1:32" ht="28.2" customHeight="1" x14ac:dyDescent="0.3">
      <c r="A3" s="45" t="s">
        <v>91</v>
      </c>
      <c r="B3" s="45" t="s">
        <v>92</v>
      </c>
      <c r="C3" s="315" t="s">
        <v>226</v>
      </c>
      <c r="D3" s="46" t="s">
        <v>100</v>
      </c>
      <c r="E3" s="35"/>
      <c r="F3" s="32"/>
      <c r="G3" s="32"/>
      <c r="H3" s="2"/>
      <c r="I3" s="2"/>
      <c r="J3" s="2"/>
      <c r="K3" s="2"/>
      <c r="L3" s="29"/>
      <c r="M3" s="27">
        <v>3</v>
      </c>
      <c r="N3" s="9" t="s">
        <v>103</v>
      </c>
      <c r="O3" s="9" t="s">
        <v>104</v>
      </c>
      <c r="P3" s="9" t="s">
        <v>103</v>
      </c>
      <c r="Q3" s="9">
        <v>3</v>
      </c>
      <c r="R3" s="29"/>
      <c r="S3" s="9" t="s">
        <v>108</v>
      </c>
      <c r="T3" s="9">
        <v>7</v>
      </c>
      <c r="U3">
        <v>8</v>
      </c>
      <c r="AD3" s="40"/>
      <c r="AE3" s="27"/>
      <c r="AF3" s="27"/>
    </row>
    <row r="4" spans="1:32" ht="21" customHeight="1" x14ac:dyDescent="0.3">
      <c r="A4" s="137"/>
      <c r="B4" s="138"/>
      <c r="C4" s="138"/>
      <c r="D4" s="137"/>
      <c r="E4" s="38"/>
      <c r="F4" s="2" t="str">
        <f>IF(A4="","",A4)</f>
        <v/>
      </c>
      <c r="G4" s="2">
        <v>0</v>
      </c>
      <c r="H4" s="2">
        <f>IF(B4="",0,IF(B4="Minimal",1,IF(B4="Intensive",4,3)))</f>
        <v>0</v>
      </c>
      <c r="I4" s="2">
        <f>IF(C4="Yes",1,0)</f>
        <v>0</v>
      </c>
      <c r="J4" s="2">
        <f>IF(D4="",0,IF(D4=1,1,D4*2))</f>
        <v>0</v>
      </c>
      <c r="K4" s="342">
        <f>SUM('Initiation &amp; Maintenance'!H26:H37)</f>
        <v>0</v>
      </c>
      <c r="L4" s="29"/>
      <c r="M4" s="27">
        <v>4</v>
      </c>
      <c r="N4" s="9"/>
      <c r="O4" s="27"/>
      <c r="P4" s="9"/>
      <c r="Q4" s="9">
        <v>4</v>
      </c>
      <c r="R4" s="29"/>
      <c r="S4" s="9" t="s">
        <v>109</v>
      </c>
      <c r="T4" s="9">
        <v>9</v>
      </c>
      <c r="U4">
        <v>10</v>
      </c>
    </row>
    <row r="5" spans="1:32" ht="26.4" hidden="1" customHeight="1" x14ac:dyDescent="0.3">
      <c r="A5" s="41"/>
      <c r="B5" s="42"/>
      <c r="C5" s="42"/>
      <c r="D5" s="41"/>
      <c r="E5" s="38"/>
      <c r="F5" s="2"/>
      <c r="G5" s="2"/>
      <c r="H5" s="2"/>
      <c r="I5" s="2"/>
      <c r="J5" s="2"/>
      <c r="K5" s="2"/>
      <c r="L5" s="29"/>
      <c r="M5" s="27">
        <v>5</v>
      </c>
      <c r="N5" s="9"/>
      <c r="O5" s="9"/>
      <c r="P5" s="9"/>
      <c r="Q5" s="9">
        <v>5</v>
      </c>
      <c r="R5" s="29"/>
      <c r="S5" s="9" t="s">
        <v>110</v>
      </c>
      <c r="T5" s="9">
        <v>11</v>
      </c>
    </row>
    <row r="6" spans="1:32" ht="25.8" customHeight="1" x14ac:dyDescent="0.3">
      <c r="A6" s="586" t="s">
        <v>133</v>
      </c>
      <c r="B6" s="587"/>
      <c r="C6" s="587"/>
      <c r="D6" s="587"/>
      <c r="E6" s="38"/>
      <c r="F6" s="2"/>
      <c r="G6" s="2"/>
      <c r="H6" s="2"/>
      <c r="I6" s="2"/>
      <c r="J6" s="2"/>
      <c r="K6" s="2"/>
      <c r="L6" s="29"/>
      <c r="M6" s="27">
        <v>6</v>
      </c>
      <c r="N6" s="9"/>
      <c r="O6" s="9"/>
      <c r="P6" s="9"/>
      <c r="Q6" s="9">
        <v>6</v>
      </c>
      <c r="R6" s="29"/>
      <c r="S6" s="9" t="s">
        <v>110</v>
      </c>
      <c r="T6" s="9">
        <v>11</v>
      </c>
      <c r="U6">
        <v>13</v>
      </c>
    </row>
    <row r="7" spans="1:32" ht="25.8" customHeight="1" thickBot="1" x14ac:dyDescent="0.35">
      <c r="A7" s="588"/>
      <c r="B7" s="588"/>
      <c r="C7" s="588"/>
      <c r="D7" s="588"/>
      <c r="E7" s="38"/>
      <c r="F7" s="2"/>
      <c r="G7" s="2"/>
      <c r="H7" s="2"/>
      <c r="I7" s="2"/>
      <c r="J7" s="2"/>
      <c r="K7" s="2"/>
      <c r="L7" s="29"/>
      <c r="M7" s="27">
        <v>7</v>
      </c>
      <c r="N7" s="9"/>
      <c r="O7" s="9"/>
      <c r="P7" s="9"/>
      <c r="Q7" s="9">
        <v>7</v>
      </c>
      <c r="R7" s="29"/>
      <c r="S7" s="9" t="s">
        <v>111</v>
      </c>
      <c r="T7" s="9">
        <v>14</v>
      </c>
    </row>
    <row r="8" spans="1:32" ht="20.55" customHeight="1" x14ac:dyDescent="0.3">
      <c r="A8" s="47" t="s">
        <v>91</v>
      </c>
      <c r="B8" s="43"/>
      <c r="C8" s="314"/>
      <c r="D8" s="41"/>
      <c r="E8" s="38"/>
      <c r="F8" s="2"/>
      <c r="G8" s="2"/>
      <c r="H8" s="2"/>
      <c r="I8" s="2"/>
      <c r="J8" s="2"/>
      <c r="K8" s="2"/>
      <c r="L8" s="29"/>
      <c r="M8" s="27">
        <v>8</v>
      </c>
      <c r="N8" s="9"/>
      <c r="O8" s="9"/>
      <c r="P8" s="9"/>
      <c r="Q8" s="9">
        <v>8</v>
      </c>
      <c r="R8" s="29"/>
      <c r="S8" s="11"/>
    </row>
    <row r="9" spans="1:32" ht="30" customHeight="1" x14ac:dyDescent="0.3">
      <c r="A9" s="582" t="s">
        <v>225</v>
      </c>
      <c r="B9" s="583"/>
      <c r="C9" s="583"/>
      <c r="D9" s="583"/>
      <c r="E9" s="38"/>
      <c r="F9" s="2"/>
      <c r="G9" s="2"/>
      <c r="H9" s="2"/>
      <c r="I9" s="2"/>
      <c r="J9" s="2"/>
      <c r="K9" s="2"/>
      <c r="L9" s="29"/>
      <c r="M9" s="27">
        <v>9</v>
      </c>
      <c r="N9" s="9"/>
      <c r="O9" s="9"/>
      <c r="P9" s="9"/>
      <c r="Q9" s="9">
        <v>9</v>
      </c>
      <c r="R9" s="29"/>
    </row>
    <row r="10" spans="1:32" ht="15.45" customHeight="1" x14ac:dyDescent="0.3">
      <c r="A10" s="48" t="s">
        <v>92</v>
      </c>
      <c r="B10" s="3"/>
      <c r="C10" s="3"/>
      <c r="D10" s="44"/>
      <c r="E10" s="38"/>
      <c r="F10" s="2"/>
      <c r="G10" s="2"/>
      <c r="H10" s="2"/>
      <c r="I10" s="2"/>
      <c r="J10" s="2"/>
      <c r="K10" s="2"/>
      <c r="L10" s="29"/>
      <c r="M10" s="27">
        <v>10</v>
      </c>
      <c r="N10" s="9"/>
      <c r="O10" s="9"/>
      <c r="P10" s="9"/>
      <c r="Q10" s="9">
        <v>10</v>
      </c>
      <c r="R10" s="29"/>
      <c r="AD10" s="40" t="s">
        <v>171</v>
      </c>
      <c r="AE10" s="27" t="s">
        <v>172</v>
      </c>
      <c r="AF10" s="27" t="s">
        <v>173</v>
      </c>
    </row>
    <row r="11" spans="1:32" ht="28.8" customHeight="1" x14ac:dyDescent="0.3">
      <c r="A11" s="589" t="s">
        <v>215</v>
      </c>
      <c r="B11" s="589"/>
      <c r="C11" s="589"/>
      <c r="D11" s="589"/>
      <c r="E11" s="38"/>
      <c r="F11" s="2"/>
      <c r="G11" s="2"/>
      <c r="H11" s="2"/>
      <c r="I11" s="2"/>
      <c r="J11" s="2"/>
      <c r="K11" s="2"/>
      <c r="L11" s="31"/>
      <c r="M11" s="27">
        <v>11</v>
      </c>
      <c r="N11" s="9"/>
      <c r="O11" s="9"/>
      <c r="P11" s="9"/>
      <c r="Q11" s="9"/>
      <c r="R11" s="29"/>
      <c r="AC11" t="s">
        <v>105</v>
      </c>
      <c r="AD11" s="26">
        <v>329</v>
      </c>
      <c r="AE11" s="26">
        <v>544</v>
      </c>
      <c r="AF11" s="26">
        <v>599</v>
      </c>
    </row>
    <row r="12" spans="1:32" x14ac:dyDescent="0.3">
      <c r="A12" s="581" t="s">
        <v>216</v>
      </c>
      <c r="B12" s="581"/>
      <c r="C12" s="581"/>
      <c r="D12" s="581"/>
      <c r="E12" s="38"/>
      <c r="F12" s="2"/>
      <c r="G12" s="2"/>
      <c r="H12" s="2"/>
      <c r="I12" s="2"/>
      <c r="J12" s="2"/>
      <c r="K12" s="2"/>
      <c r="L12" s="31"/>
      <c r="M12" s="27">
        <v>12</v>
      </c>
      <c r="N12" s="9"/>
      <c r="O12" s="9"/>
      <c r="P12" s="9"/>
      <c r="Q12" s="9"/>
      <c r="R12" s="29"/>
      <c r="AC12" t="s">
        <v>106</v>
      </c>
      <c r="AD12" s="26">
        <v>638</v>
      </c>
      <c r="AE12" s="26">
        <v>1056</v>
      </c>
      <c r="AF12" s="26">
        <v>1161</v>
      </c>
    </row>
    <row r="13" spans="1:32" ht="27" customHeight="1" x14ac:dyDescent="0.3">
      <c r="A13" s="581" t="s">
        <v>217</v>
      </c>
      <c r="B13" s="581"/>
      <c r="C13" s="581"/>
      <c r="D13" s="581"/>
      <c r="E13" s="38"/>
      <c r="F13" s="2"/>
      <c r="G13" s="2"/>
      <c r="H13" s="2"/>
      <c r="I13" s="2"/>
      <c r="J13" s="2"/>
      <c r="K13" s="2"/>
      <c r="L13" s="31"/>
      <c r="M13" s="27">
        <v>13</v>
      </c>
      <c r="N13" s="9"/>
      <c r="O13" s="9"/>
      <c r="P13" s="9"/>
      <c r="Q13" s="9"/>
      <c r="R13" s="29"/>
      <c r="AC13" t="s">
        <v>108</v>
      </c>
      <c r="AD13" s="26">
        <v>762</v>
      </c>
      <c r="AE13" s="26">
        <v>1261</v>
      </c>
      <c r="AF13" s="26">
        <v>1387</v>
      </c>
    </row>
    <row r="14" spans="1:32" ht="15.45" customHeight="1" x14ac:dyDescent="0.3">
      <c r="A14" s="48" t="s">
        <v>227</v>
      </c>
      <c r="B14" s="309"/>
      <c r="C14" s="309"/>
      <c r="D14" s="309"/>
      <c r="E14" s="39"/>
      <c r="F14" s="33"/>
      <c r="G14" s="33"/>
      <c r="H14" s="2"/>
      <c r="I14" s="2"/>
      <c r="J14" s="2"/>
      <c r="K14" s="2"/>
      <c r="L14" s="29"/>
      <c r="M14" s="27">
        <v>14</v>
      </c>
      <c r="N14" s="9"/>
      <c r="O14" s="9"/>
      <c r="P14" s="9"/>
      <c r="Q14" s="9"/>
      <c r="R14" s="29"/>
      <c r="AC14" t="s">
        <v>109</v>
      </c>
      <c r="AD14" s="26">
        <v>919</v>
      </c>
      <c r="AE14" s="26">
        <v>1521</v>
      </c>
      <c r="AF14" s="26">
        <v>1673</v>
      </c>
    </row>
    <row r="15" spans="1:32" ht="14.4" customHeight="1" x14ac:dyDescent="0.3">
      <c r="A15" s="590" t="s">
        <v>228</v>
      </c>
      <c r="B15" s="591"/>
      <c r="C15" s="591"/>
      <c r="D15" s="591"/>
      <c r="E15" s="37"/>
      <c r="L15" s="30"/>
      <c r="M15" s="27">
        <v>15</v>
      </c>
      <c r="R15" s="29"/>
      <c r="AC15" t="s">
        <v>110</v>
      </c>
      <c r="AD15" s="26">
        <v>1031</v>
      </c>
      <c r="AE15" s="26">
        <v>1706</v>
      </c>
      <c r="AF15" s="26">
        <v>1876</v>
      </c>
    </row>
    <row r="16" spans="1:32" ht="12" customHeight="1" x14ac:dyDescent="0.3">
      <c r="A16" s="591"/>
      <c r="B16" s="591"/>
      <c r="C16" s="591"/>
      <c r="D16" s="591"/>
      <c r="AC16" t="s">
        <v>111</v>
      </c>
      <c r="AD16" s="26">
        <v>1237</v>
      </c>
      <c r="AE16" s="26">
        <v>2047</v>
      </c>
      <c r="AF16" s="26">
        <v>2251</v>
      </c>
    </row>
    <row r="17" spans="1:4" ht="15.6" x14ac:dyDescent="0.3">
      <c r="A17" s="48" t="s">
        <v>100</v>
      </c>
      <c r="B17" s="90"/>
      <c r="C17" s="307"/>
      <c r="D17" s="91"/>
    </row>
    <row r="18" spans="1:4" ht="15.45" customHeight="1" x14ac:dyDescent="0.3">
      <c r="A18" s="581" t="s">
        <v>131</v>
      </c>
      <c r="B18" s="581"/>
      <c r="C18" s="581"/>
      <c r="D18" s="581"/>
    </row>
    <row r="19" spans="1:4" x14ac:dyDescent="0.3">
      <c r="A19" s="418"/>
      <c r="B19" s="418"/>
      <c r="C19" s="418"/>
      <c r="D19" s="418"/>
    </row>
    <row r="20" spans="1:4" x14ac:dyDescent="0.3">
      <c r="A20" s="3"/>
      <c r="B20" s="90"/>
      <c r="C20" s="307"/>
      <c r="D20" s="91"/>
    </row>
    <row r="21" spans="1:4" x14ac:dyDescent="0.3">
      <c r="A21" s="3"/>
      <c r="B21" s="90"/>
      <c r="C21" s="307"/>
      <c r="D21" s="91"/>
    </row>
    <row r="22" spans="1:4" ht="15.45" customHeight="1" x14ac:dyDescent="0.3">
      <c r="A22" s="3"/>
      <c r="B22" s="90"/>
      <c r="C22" s="307"/>
      <c r="D22" s="91"/>
    </row>
    <row r="23" spans="1:4" x14ac:dyDescent="0.3">
      <c r="A23" s="3"/>
      <c r="B23" s="90"/>
      <c r="C23" s="307"/>
      <c r="D23" s="91"/>
    </row>
    <row r="24" spans="1:4" x14ac:dyDescent="0.3">
      <c r="A24" s="3"/>
      <c r="B24" s="90"/>
      <c r="C24" s="307"/>
      <c r="D24" s="91"/>
    </row>
    <row r="25" spans="1:4" x14ac:dyDescent="0.3">
      <c r="A25" s="3"/>
      <c r="B25" s="90"/>
      <c r="C25" s="307"/>
      <c r="D25" s="91"/>
    </row>
    <row r="26" spans="1:4" x14ac:dyDescent="0.3">
      <c r="A26" s="3"/>
      <c r="B26" s="90"/>
      <c r="C26" s="307"/>
      <c r="D26" s="91"/>
    </row>
    <row r="27" spans="1:4" x14ac:dyDescent="0.3">
      <c r="A27" s="3"/>
      <c r="B27" s="90"/>
      <c r="C27" s="307"/>
      <c r="D27" s="91"/>
    </row>
    <row r="28" spans="1:4" x14ac:dyDescent="0.3">
      <c r="A28" s="3"/>
      <c r="B28" s="90"/>
      <c r="C28" s="307"/>
      <c r="D28" s="91"/>
    </row>
    <row r="29" spans="1:4" x14ac:dyDescent="0.3">
      <c r="A29" s="3"/>
      <c r="B29" s="90"/>
      <c r="C29" s="307"/>
      <c r="D29" s="91"/>
    </row>
    <row r="30" spans="1:4" x14ac:dyDescent="0.3">
      <c r="A30" s="3"/>
      <c r="B30" s="90"/>
      <c r="C30" s="307"/>
      <c r="D30" s="91"/>
    </row>
    <row r="31" spans="1:4" x14ac:dyDescent="0.3">
      <c r="A31" s="3"/>
      <c r="B31" s="90"/>
      <c r="C31" s="307"/>
      <c r="D31" s="91"/>
    </row>
    <row r="32" spans="1:4" x14ac:dyDescent="0.3">
      <c r="A32" s="3"/>
      <c r="B32" s="90"/>
      <c r="C32" s="307"/>
      <c r="D32" s="91"/>
    </row>
    <row r="33" spans="1:4" x14ac:dyDescent="0.3">
      <c r="A33" s="3"/>
      <c r="B33" s="90"/>
      <c r="C33" s="307"/>
      <c r="D33" s="91"/>
    </row>
    <row r="34" spans="1:4" x14ac:dyDescent="0.3">
      <c r="A34" s="3"/>
      <c r="B34" s="90"/>
      <c r="C34" s="307"/>
      <c r="D34" s="91"/>
    </row>
    <row r="35" spans="1:4" x14ac:dyDescent="0.3">
      <c r="A35" s="3"/>
      <c r="B35" s="90"/>
      <c r="C35" s="307"/>
      <c r="D35" s="91"/>
    </row>
  </sheetData>
  <sheetProtection algorithmName="SHA-512" hashValue="gvTInTBEdiUFT3L3875hqPsYhRvcvfGKt6DrDcCF3lHKSP2BYDJVjOUP1cPsI7XOW4uSomi8hPekHQ5m+upA0g==" saltValue="9gcBGC9iN8OZIDw32FNJ9w==" spinCount="100000" sheet="1" selectLockedCells="1"/>
  <mergeCells count="8">
    <mergeCell ref="A13:D13"/>
    <mergeCell ref="A18:D19"/>
    <mergeCell ref="A9:D9"/>
    <mergeCell ref="A1:D2"/>
    <mergeCell ref="A6:D7"/>
    <mergeCell ref="A11:D11"/>
    <mergeCell ref="A12:D12"/>
    <mergeCell ref="A15:D16"/>
  </mergeCells>
  <dataValidations count="4">
    <dataValidation type="list" allowBlank="1" showInputMessage="1" showErrorMessage="1" sqref="A4" xr:uid="{00000000-0002-0000-0300-000000000000}">
      <formula1>$M$1:$M$14</formula1>
    </dataValidation>
    <dataValidation type="list" allowBlank="1" showInputMessage="1" showErrorMessage="1" sqref="B4" xr:uid="{00000000-0002-0000-0300-000002000000}">
      <formula1>$O$1:$O$4</formula1>
    </dataValidation>
    <dataValidation type="list" allowBlank="1" showInputMessage="1" showErrorMessage="1" sqref="E4:E13 D4" xr:uid="{00000000-0002-0000-0300-000004000000}">
      <formula1>$Q$1:$Q$10</formula1>
    </dataValidation>
    <dataValidation type="list" allowBlank="1" showInputMessage="1" showErrorMessage="1" sqref="C4" xr:uid="{96994515-9881-4EC5-8811-8D81CAAEC36B}">
      <formula1>$W$1:$W$2</formula1>
    </dataValidation>
  </dataValidations>
  <pageMargins left="0.7" right="0.7" top="0.75" bottom="0.75" header="0.3" footer="0.3"/>
  <pageSetup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65DB6-89B9-4F26-9AD8-A4E0BD7767B3}">
  <sheetPr codeName="Sheet10">
    <tabColor theme="8" tint="-0.249977111117893"/>
  </sheetPr>
  <dimension ref="A1:Q48"/>
  <sheetViews>
    <sheetView workbookViewId="0">
      <pane ySplit="4" topLeftCell="A5" activePane="bottomLeft" state="frozen"/>
      <selection pane="bottomLeft" activeCell="D5" sqref="D5"/>
    </sheetView>
  </sheetViews>
  <sheetFormatPr defaultRowHeight="14.4" x14ac:dyDescent="0.3"/>
  <cols>
    <col min="1" max="1" width="25.77734375" customWidth="1"/>
    <col min="2" max="2" width="20.44140625" customWidth="1"/>
    <col min="3" max="3" width="9.109375" customWidth="1"/>
    <col min="4" max="4" width="10.5546875" customWidth="1"/>
    <col min="5" max="5" width="56.44140625" customWidth="1"/>
    <col min="6" max="6" width="6.77734375" hidden="1" customWidth="1"/>
    <col min="7" max="7" width="11.5546875" style="308" hidden="1" customWidth="1"/>
    <col min="8" max="8" width="11.6640625" style="308" hidden="1" customWidth="1"/>
    <col min="9" max="9" width="14" hidden="1" customWidth="1"/>
    <col min="10" max="12" width="8.88671875" hidden="1" customWidth="1"/>
    <col min="13" max="13" width="17.6640625" hidden="1" customWidth="1"/>
    <col min="14" max="15" width="8.88671875" hidden="1" customWidth="1"/>
    <col min="16" max="16" width="13.44140625" hidden="1" customWidth="1"/>
    <col min="17" max="17" width="8.88671875" hidden="1" customWidth="1"/>
  </cols>
  <sheetData>
    <row r="1" spans="1:16" ht="9.6" customHeight="1" x14ac:dyDescent="0.3">
      <c r="A1" s="608" t="s">
        <v>296</v>
      </c>
      <c r="B1" s="608"/>
      <c r="C1" s="608"/>
      <c r="D1" s="608"/>
      <c r="E1" s="609"/>
      <c r="I1" t="s">
        <v>63</v>
      </c>
      <c r="J1">
        <v>0</v>
      </c>
      <c r="K1" t="s">
        <v>93</v>
      </c>
    </row>
    <row r="2" spans="1:16" ht="4.8" customHeight="1" x14ac:dyDescent="0.3">
      <c r="A2" s="610"/>
      <c r="B2" s="610"/>
      <c r="C2" s="610"/>
      <c r="D2" s="610"/>
      <c r="E2" s="609"/>
      <c r="I2" t="s">
        <v>64</v>
      </c>
      <c r="J2">
        <v>1</v>
      </c>
      <c r="K2" t="s">
        <v>107</v>
      </c>
    </row>
    <row r="3" spans="1:16" ht="10.8" customHeight="1" x14ac:dyDescent="0.3">
      <c r="A3" s="611"/>
      <c r="B3" s="611"/>
      <c r="C3" s="611"/>
      <c r="D3" s="611"/>
      <c r="E3" s="611"/>
      <c r="G3" s="594" t="s">
        <v>297</v>
      </c>
      <c r="H3" s="594"/>
      <c r="J3">
        <v>2</v>
      </c>
      <c r="K3" t="s">
        <v>104</v>
      </c>
    </row>
    <row r="4" spans="1:16" ht="18" customHeight="1" x14ac:dyDescent="0.3">
      <c r="A4" s="606" t="s">
        <v>25</v>
      </c>
      <c r="B4" s="607"/>
      <c r="C4" s="607"/>
      <c r="D4" s="334" t="s">
        <v>288</v>
      </c>
      <c r="E4" s="334" t="s">
        <v>24</v>
      </c>
      <c r="G4" s="339" t="s">
        <v>285</v>
      </c>
      <c r="H4" s="339" t="s">
        <v>155</v>
      </c>
      <c r="J4">
        <v>3</v>
      </c>
      <c r="L4" s="325" t="s">
        <v>302</v>
      </c>
      <c r="N4">
        <f>MAX(Dispensing!E55,Dispensing!I55,Dispensing!M55,Dispensing!Q55,Dispensing!U55,Dispensing!Y55,Dispensing!AC55,Dispensing!AG55,Dispensing!AK55)</f>
        <v>0</v>
      </c>
      <c r="O4">
        <f>MAX(Dispensing!E55,Dispensing!I55,Dispensing!M55,Dispensing!Q55,Dispensing!U55,Dispensing!Y55,Dispensing!AC55,Dispensing!AG55,Dispensing!AK55)</f>
        <v>0</v>
      </c>
      <c r="P4" s="325" t="s">
        <v>338</v>
      </c>
    </row>
    <row r="5" spans="1:16" ht="34.950000000000003" customHeight="1" x14ac:dyDescent="0.3">
      <c r="A5" s="595" t="s">
        <v>273</v>
      </c>
      <c r="B5" s="593"/>
      <c r="C5" s="593"/>
      <c r="D5" s="367"/>
      <c r="E5" s="605" t="s">
        <v>287</v>
      </c>
      <c r="G5" s="11">
        <f>SUM(G6:G38)+O6+O4+N7</f>
        <v>0</v>
      </c>
      <c r="H5" s="11" t="e">
        <f>SUM(H6:H38)+O4+O5+O6+O7+O8+'Estimate Details'!U11</f>
        <v>#VALUE!</v>
      </c>
      <c r="J5">
        <v>4</v>
      </c>
      <c r="L5" s="325" t="s">
        <v>303</v>
      </c>
      <c r="N5">
        <v>0</v>
      </c>
      <c r="O5">
        <f>IF(SUM(Dispensing!C19+Dispensing!G19+Dispensing!K19+Dispensing!O19+Dispensing!S19+Dispensing!W19+Dispensing!AA19+Dispensing!AE19+Dispensing!AI19)&gt;0,1,0)</f>
        <v>0</v>
      </c>
      <c r="P5" s="325" t="s">
        <v>337</v>
      </c>
    </row>
    <row r="6" spans="1:16" ht="34.950000000000003" customHeight="1" x14ac:dyDescent="0.3">
      <c r="A6" s="595" t="s">
        <v>274</v>
      </c>
      <c r="B6" s="593"/>
      <c r="C6" s="593"/>
      <c r="D6" s="367"/>
      <c r="E6" s="599"/>
      <c r="J6">
        <v>5</v>
      </c>
      <c r="L6" s="325" t="s">
        <v>304</v>
      </c>
      <c r="N6" s="340">
        <f>IF('Manufacturing-Testing-Other'!R45&gt;0,1,0)</f>
        <v>0</v>
      </c>
      <c r="O6">
        <f>IF(N6&gt;0,1,0)</f>
        <v>0</v>
      </c>
      <c r="P6" s="325" t="s">
        <v>337</v>
      </c>
    </row>
    <row r="7" spans="1:16" ht="18" customHeight="1" x14ac:dyDescent="0.3">
      <c r="A7" s="595" t="s">
        <v>275</v>
      </c>
      <c r="B7" s="593"/>
      <c r="C7" s="593"/>
      <c r="D7" s="367"/>
      <c r="E7" s="329" t="s">
        <v>286</v>
      </c>
      <c r="L7" s="325" t="s">
        <v>305</v>
      </c>
      <c r="N7">
        <f>IF(Medications!X16&gt;0,1,0)</f>
        <v>0</v>
      </c>
      <c r="O7">
        <f>IF(Medications!X16&gt;0,1,0)</f>
        <v>0</v>
      </c>
      <c r="P7" s="325" t="s">
        <v>337</v>
      </c>
    </row>
    <row r="8" spans="1:16" ht="18" customHeight="1" x14ac:dyDescent="0.3">
      <c r="A8" s="595" t="s">
        <v>276</v>
      </c>
      <c r="B8" s="593"/>
      <c r="C8" s="593"/>
      <c r="D8" s="367"/>
      <c r="E8" s="331" t="s">
        <v>62</v>
      </c>
      <c r="L8" s="325" t="s">
        <v>328</v>
      </c>
      <c r="N8">
        <v>0</v>
      </c>
      <c r="O8">
        <f>IF(D7&gt;0,1,0)</f>
        <v>0</v>
      </c>
      <c r="P8" s="325" t="s">
        <v>335</v>
      </c>
    </row>
    <row r="9" spans="1:16" ht="18" customHeight="1" x14ac:dyDescent="0.3">
      <c r="A9" s="595" t="s">
        <v>277</v>
      </c>
      <c r="B9" s="593"/>
      <c r="C9" s="593"/>
      <c r="D9" s="367"/>
      <c r="E9" s="331" t="s">
        <v>62</v>
      </c>
    </row>
    <row r="10" spans="1:16" ht="25.2" customHeight="1" x14ac:dyDescent="0.3">
      <c r="A10" s="595" t="s">
        <v>229</v>
      </c>
      <c r="B10" s="593"/>
      <c r="C10" s="593"/>
      <c r="D10" s="367"/>
      <c r="E10" s="330" t="s">
        <v>291</v>
      </c>
    </row>
    <row r="11" spans="1:16" x14ac:dyDescent="0.3">
      <c r="A11" s="595" t="s">
        <v>278</v>
      </c>
      <c r="B11" s="593"/>
      <c r="C11" s="593"/>
      <c r="D11" s="367"/>
      <c r="E11" s="331" t="s">
        <v>62</v>
      </c>
    </row>
    <row r="12" spans="1:16" x14ac:dyDescent="0.3">
      <c r="A12" s="595" t="s">
        <v>38</v>
      </c>
      <c r="B12" s="593"/>
      <c r="C12" s="593"/>
      <c r="D12" s="367"/>
      <c r="E12" s="331" t="s">
        <v>62</v>
      </c>
    </row>
    <row r="13" spans="1:16" ht="28.2" customHeight="1" thickBot="1" x14ac:dyDescent="0.35">
      <c r="A13" s="596" t="s">
        <v>299</v>
      </c>
      <c r="B13" s="597"/>
      <c r="C13" s="597"/>
      <c r="D13" s="368"/>
      <c r="E13" s="338" t="s">
        <v>62</v>
      </c>
      <c r="G13" s="308">
        <f>IF(D13="Yes",1,0)</f>
        <v>0</v>
      </c>
      <c r="I13" s="325" t="s">
        <v>334</v>
      </c>
    </row>
    <row r="14" spans="1:16" ht="28.2" customHeight="1" thickTop="1" x14ac:dyDescent="0.3">
      <c r="A14" s="598" t="s">
        <v>284</v>
      </c>
      <c r="B14" s="599"/>
      <c r="C14" s="599"/>
      <c r="D14" s="369"/>
      <c r="E14" s="335" t="s">
        <v>62</v>
      </c>
    </row>
    <row r="15" spans="1:16" ht="30" customHeight="1" x14ac:dyDescent="0.3">
      <c r="A15" s="595" t="s">
        <v>279</v>
      </c>
      <c r="B15" s="593"/>
      <c r="C15" s="593"/>
      <c r="D15" s="367"/>
      <c r="E15" s="331" t="s">
        <v>62</v>
      </c>
    </row>
    <row r="16" spans="1:16" ht="41.4" customHeight="1" thickBot="1" x14ac:dyDescent="0.35">
      <c r="A16" s="596" t="s">
        <v>67</v>
      </c>
      <c r="B16" s="597"/>
      <c r="C16" s="597"/>
      <c r="D16" s="368"/>
      <c r="E16" s="336" t="s">
        <v>290</v>
      </c>
    </row>
    <row r="17" spans="1:9" ht="29.4" customHeight="1" thickTop="1" x14ac:dyDescent="0.3">
      <c r="A17" s="598" t="s">
        <v>280</v>
      </c>
      <c r="B17" s="599"/>
      <c r="C17" s="599"/>
      <c r="D17" s="369"/>
      <c r="E17" s="337" t="s">
        <v>62</v>
      </c>
    </row>
    <row r="18" spans="1:9" ht="28.2" hidden="1" customHeight="1" x14ac:dyDescent="0.3">
      <c r="A18" s="595" t="s">
        <v>42</v>
      </c>
      <c r="B18" s="593"/>
      <c r="C18" s="593"/>
      <c r="D18" s="332"/>
      <c r="E18" s="330" t="s">
        <v>289</v>
      </c>
    </row>
    <row r="19" spans="1:9" ht="28.8" customHeight="1" x14ac:dyDescent="0.3">
      <c r="A19" s="595" t="s">
        <v>44</v>
      </c>
      <c r="B19" s="593"/>
      <c r="C19" s="593"/>
      <c r="D19" s="367"/>
      <c r="E19" s="331" t="s">
        <v>62</v>
      </c>
    </row>
    <row r="20" spans="1:9" ht="27" customHeight="1" thickBot="1" x14ac:dyDescent="0.35">
      <c r="A20" s="596" t="s">
        <v>230</v>
      </c>
      <c r="B20" s="597"/>
      <c r="C20" s="597"/>
      <c r="D20" s="368"/>
      <c r="E20" s="336" t="s">
        <v>292</v>
      </c>
    </row>
    <row r="21" spans="1:9" ht="27.6" customHeight="1" thickTop="1" x14ac:dyDescent="0.3">
      <c r="A21" s="613" t="s">
        <v>281</v>
      </c>
      <c r="B21" s="614"/>
      <c r="C21" s="615"/>
      <c r="D21" s="369"/>
      <c r="E21" s="335" t="s">
        <v>62</v>
      </c>
    </row>
    <row r="22" spans="1:9" ht="18" customHeight="1" x14ac:dyDescent="0.3">
      <c r="A22" s="616" t="s">
        <v>47</v>
      </c>
      <c r="B22" s="617"/>
      <c r="C22" s="618"/>
      <c r="D22" s="367"/>
      <c r="E22" s="331" t="s">
        <v>294</v>
      </c>
    </row>
    <row r="23" spans="1:9" ht="18" customHeight="1" x14ac:dyDescent="0.3">
      <c r="A23" s="616" t="s">
        <v>49</v>
      </c>
      <c r="B23" s="617"/>
      <c r="C23" s="618"/>
      <c r="D23" s="367"/>
      <c r="E23" s="331" t="s">
        <v>293</v>
      </c>
    </row>
    <row r="24" spans="1:9" ht="28.8" customHeight="1" x14ac:dyDescent="0.3">
      <c r="A24" s="616" t="s">
        <v>50</v>
      </c>
      <c r="B24" s="617"/>
      <c r="C24" s="618"/>
      <c r="D24" s="367"/>
      <c r="E24" s="331" t="s">
        <v>62</v>
      </c>
    </row>
    <row r="25" spans="1:9" ht="28.8" customHeight="1" thickBot="1" x14ac:dyDescent="0.35">
      <c r="A25" s="619" t="s">
        <v>51</v>
      </c>
      <c r="B25" s="620"/>
      <c r="C25" s="621"/>
      <c r="D25" s="368"/>
      <c r="E25" s="338" t="s">
        <v>62</v>
      </c>
    </row>
    <row r="26" spans="1:9" ht="18.600000000000001" customHeight="1" thickTop="1" x14ac:dyDescent="0.3">
      <c r="A26" s="612" t="s">
        <v>265</v>
      </c>
      <c r="B26" s="599"/>
      <c r="C26" s="599"/>
      <c r="D26" s="369"/>
      <c r="E26" s="337" t="s">
        <v>62</v>
      </c>
      <c r="G26" s="308">
        <f>IF(D26="Yes",1,0)</f>
        <v>0</v>
      </c>
      <c r="H26" s="308">
        <f>IF(D26="Yes",1,0)</f>
        <v>0</v>
      </c>
      <c r="I26" s="325" t="s">
        <v>336</v>
      </c>
    </row>
    <row r="27" spans="1:9" ht="26.4" customHeight="1" x14ac:dyDescent="0.3">
      <c r="A27" s="595" t="s">
        <v>343</v>
      </c>
      <c r="B27" s="593"/>
      <c r="C27" s="593"/>
      <c r="D27" s="367"/>
      <c r="E27" s="333" t="s">
        <v>298</v>
      </c>
      <c r="G27" s="308">
        <f>IF(D27&gt;0,D27*0.5,0)</f>
        <v>0</v>
      </c>
      <c r="H27" s="308">
        <f>IF(D27&gt;0,D27*0.5,0)</f>
        <v>0</v>
      </c>
      <c r="I27" s="325" t="s">
        <v>335</v>
      </c>
    </row>
    <row r="28" spans="1:9" x14ac:dyDescent="0.3">
      <c r="A28" s="595" t="s">
        <v>266</v>
      </c>
      <c r="B28" s="593"/>
      <c r="C28" s="593"/>
      <c r="D28" s="367"/>
      <c r="E28" s="331" t="s">
        <v>62</v>
      </c>
      <c r="G28" s="308">
        <f>IF(D28="Yes",2,0)</f>
        <v>0</v>
      </c>
      <c r="H28" s="308">
        <f>IF(D28="Yes",2,0)</f>
        <v>0</v>
      </c>
      <c r="I28" s="325" t="s">
        <v>335</v>
      </c>
    </row>
    <row r="29" spans="1:9" x14ac:dyDescent="0.3">
      <c r="A29" s="592" t="s">
        <v>267</v>
      </c>
      <c r="B29" s="593"/>
      <c r="C29" s="593"/>
      <c r="D29" s="367"/>
      <c r="E29" s="331" t="s">
        <v>62</v>
      </c>
      <c r="G29" s="308">
        <f>IF(D29="Yes",1,0)</f>
        <v>0</v>
      </c>
      <c r="H29" s="308">
        <f>IF(D29="Yes",1,0)</f>
        <v>0</v>
      </c>
      <c r="I29" s="325" t="s">
        <v>335</v>
      </c>
    </row>
    <row r="30" spans="1:9" x14ac:dyDescent="0.3">
      <c r="A30" s="592" t="s">
        <v>344</v>
      </c>
      <c r="B30" s="593"/>
      <c r="C30" s="593"/>
      <c r="D30" s="367"/>
      <c r="E30" s="331" t="s">
        <v>62</v>
      </c>
      <c r="G30" s="308">
        <f>IF(D30="Yes",1,0)</f>
        <v>0</v>
      </c>
      <c r="H30" s="308">
        <f>IF(D30="Yes",1,0)</f>
        <v>0</v>
      </c>
      <c r="I30" s="325" t="s">
        <v>335</v>
      </c>
    </row>
    <row r="31" spans="1:9" x14ac:dyDescent="0.3">
      <c r="A31" s="592" t="s">
        <v>268</v>
      </c>
      <c r="B31" s="593"/>
      <c r="C31" s="593"/>
      <c r="D31" s="367"/>
      <c r="E31" s="331" t="s">
        <v>62</v>
      </c>
      <c r="G31" s="308">
        <v>0</v>
      </c>
      <c r="H31" s="308">
        <f>IF(D31="Yes",1,0)</f>
        <v>0</v>
      </c>
      <c r="I31" s="325" t="s">
        <v>335</v>
      </c>
    </row>
    <row r="32" spans="1:9" ht="27.6" x14ac:dyDescent="0.3">
      <c r="A32" s="592" t="s">
        <v>301</v>
      </c>
      <c r="B32" s="593"/>
      <c r="C32" s="593"/>
      <c r="D32" s="367"/>
      <c r="E32" s="333" t="s">
        <v>300</v>
      </c>
      <c r="G32" s="308">
        <v>0</v>
      </c>
      <c r="H32" s="214">
        <f>IF(D32="",0,IF(D32="Minimal",0.5,IF(D32="Routine",1,2)))</f>
        <v>0</v>
      </c>
      <c r="I32" s="325" t="s">
        <v>92</v>
      </c>
    </row>
    <row r="33" spans="1:9" x14ac:dyDescent="0.3">
      <c r="A33" s="592" t="s">
        <v>269</v>
      </c>
      <c r="B33" s="593"/>
      <c r="C33" s="593"/>
      <c r="D33" s="367"/>
      <c r="E33" s="331" t="s">
        <v>62</v>
      </c>
      <c r="G33" s="308">
        <f>IF(D33="Yes",1,0)</f>
        <v>0</v>
      </c>
      <c r="H33" s="308">
        <f>IF(D33="Yes",1,0)</f>
        <v>0</v>
      </c>
      <c r="I33" s="325" t="s">
        <v>92</v>
      </c>
    </row>
    <row r="34" spans="1:9" ht="27.6" customHeight="1" x14ac:dyDescent="0.3">
      <c r="A34" s="592" t="s">
        <v>270</v>
      </c>
      <c r="B34" s="593"/>
      <c r="C34" s="593"/>
      <c r="D34" s="367"/>
      <c r="E34" s="331" t="s">
        <v>62</v>
      </c>
      <c r="G34" s="308">
        <f>IF(D34="Yes",1,0)</f>
        <v>0</v>
      </c>
      <c r="H34" s="308">
        <f>IF(D34="Yes",1,0)</f>
        <v>0</v>
      </c>
      <c r="I34" s="325" t="s">
        <v>334</v>
      </c>
    </row>
    <row r="35" spans="1:9" x14ac:dyDescent="0.3">
      <c r="A35" s="592" t="s">
        <v>271</v>
      </c>
      <c r="B35" s="593"/>
      <c r="C35" s="593"/>
      <c r="D35" s="367"/>
      <c r="E35" s="331" t="s">
        <v>62</v>
      </c>
      <c r="G35" s="308">
        <f>IF(D35="Yes",1,0)</f>
        <v>0</v>
      </c>
      <c r="H35" s="308">
        <f>IF(D35="Yes",1,0)</f>
        <v>0</v>
      </c>
      <c r="I35" s="220" t="s">
        <v>334</v>
      </c>
    </row>
    <row r="36" spans="1:9" x14ac:dyDescent="0.3">
      <c r="A36" s="592" t="s">
        <v>272</v>
      </c>
      <c r="B36" s="593"/>
      <c r="C36" s="593"/>
      <c r="D36" s="367"/>
      <c r="E36" s="331" t="s">
        <v>62</v>
      </c>
      <c r="G36" s="308">
        <v>0</v>
      </c>
      <c r="H36" s="308">
        <f>IF(D36="Yes",1,0)</f>
        <v>0</v>
      </c>
      <c r="I36" s="220" t="s">
        <v>334</v>
      </c>
    </row>
    <row r="37" spans="1:9" x14ac:dyDescent="0.3">
      <c r="A37" s="592" t="s">
        <v>283</v>
      </c>
      <c r="B37" s="593"/>
      <c r="C37" s="593"/>
      <c r="D37" s="367"/>
      <c r="E37" s="331" t="s">
        <v>295</v>
      </c>
      <c r="G37" s="308">
        <f>IF(D37="",0,1*D37)</f>
        <v>0</v>
      </c>
      <c r="H37" s="308">
        <f>IF(D37="",0,1*D37)</f>
        <v>0</v>
      </c>
      <c r="I37" s="325" t="s">
        <v>334</v>
      </c>
    </row>
    <row r="38" spans="1:9" x14ac:dyDescent="0.3">
      <c r="A38" s="600" t="s">
        <v>282</v>
      </c>
      <c r="B38" s="601"/>
      <c r="C38" s="601"/>
      <c r="D38" s="601"/>
      <c r="E38" s="602"/>
    </row>
    <row r="39" spans="1:9" x14ac:dyDescent="0.3">
      <c r="A39" s="603"/>
      <c r="B39" s="603"/>
      <c r="C39" s="603"/>
      <c r="D39" s="603"/>
      <c r="E39" s="604"/>
    </row>
    <row r="40" spans="1:9" x14ac:dyDescent="0.3">
      <c r="A40" s="603"/>
      <c r="B40" s="603"/>
      <c r="C40" s="603"/>
      <c r="D40" s="603"/>
      <c r="E40" s="604"/>
    </row>
    <row r="41" spans="1:9" x14ac:dyDescent="0.3">
      <c r="A41" s="603"/>
      <c r="B41" s="603"/>
      <c r="C41" s="603"/>
      <c r="D41" s="603"/>
      <c r="E41" s="604"/>
    </row>
    <row r="42" spans="1:9" x14ac:dyDescent="0.3">
      <c r="A42" s="603"/>
      <c r="B42" s="603"/>
      <c r="C42" s="603"/>
      <c r="D42" s="603"/>
      <c r="E42" s="604"/>
    </row>
    <row r="43" spans="1:9" x14ac:dyDescent="0.3">
      <c r="A43" s="603"/>
      <c r="B43" s="603"/>
      <c r="C43" s="603"/>
      <c r="D43" s="603"/>
      <c r="E43" s="604"/>
    </row>
    <row r="44" spans="1:9" x14ac:dyDescent="0.3">
      <c r="A44" s="603"/>
      <c r="B44" s="603"/>
      <c r="C44" s="603"/>
      <c r="D44" s="603"/>
      <c r="E44" s="604"/>
    </row>
    <row r="45" spans="1:9" ht="10.8" customHeight="1" x14ac:dyDescent="0.3">
      <c r="A45" s="603"/>
      <c r="B45" s="603"/>
      <c r="C45" s="603"/>
      <c r="D45" s="603"/>
      <c r="E45" s="604"/>
    </row>
    <row r="46" spans="1:9" ht="12" customHeight="1" x14ac:dyDescent="0.3">
      <c r="A46" s="603"/>
      <c r="B46" s="603"/>
      <c r="C46" s="603"/>
      <c r="D46" s="603"/>
      <c r="E46" s="604"/>
    </row>
    <row r="47" spans="1:9" x14ac:dyDescent="0.3">
      <c r="A47" s="603"/>
      <c r="B47" s="603"/>
      <c r="C47" s="603"/>
      <c r="D47" s="603"/>
      <c r="E47" s="604"/>
    </row>
    <row r="48" spans="1:9" x14ac:dyDescent="0.3">
      <c r="E48" s="109"/>
    </row>
  </sheetData>
  <sheetProtection algorithmName="SHA-512" hashValue="A/AlCtJLGRpfj/ygeMKnrF8YKdXm9OGur5c8BgX3afppfnFIhCk5Kdie3gVdgDwbEq3ObIo0A4w6khY8PoRIig==" saltValue="sr5ld357xy3ZGglfPPs5BQ==" spinCount="100000" sheet="1" objects="1" scenarios="1" selectLockedCells="1"/>
  <mergeCells count="39">
    <mergeCell ref="A28:C28"/>
    <mergeCell ref="A20:C20"/>
    <mergeCell ref="A21:C21"/>
    <mergeCell ref="A22:C22"/>
    <mergeCell ref="A23:C23"/>
    <mergeCell ref="A25:C25"/>
    <mergeCell ref="A24:C24"/>
    <mergeCell ref="A38:E38"/>
    <mergeCell ref="A39:E47"/>
    <mergeCell ref="E5:E6"/>
    <mergeCell ref="A4:C4"/>
    <mergeCell ref="A1:E3"/>
    <mergeCell ref="A30:C30"/>
    <mergeCell ref="A10:C10"/>
    <mergeCell ref="A11:C11"/>
    <mergeCell ref="A9:C9"/>
    <mergeCell ref="A13:C13"/>
    <mergeCell ref="A27:C27"/>
    <mergeCell ref="A26:C26"/>
    <mergeCell ref="A29:C29"/>
    <mergeCell ref="A14:C14"/>
    <mergeCell ref="A15:C15"/>
    <mergeCell ref="A32:C32"/>
    <mergeCell ref="A37:C37"/>
    <mergeCell ref="A31:C31"/>
    <mergeCell ref="A35:C35"/>
    <mergeCell ref="A36:C36"/>
    <mergeCell ref="G3:H3"/>
    <mergeCell ref="A33:C33"/>
    <mergeCell ref="A34:C34"/>
    <mergeCell ref="A5:C5"/>
    <mergeCell ref="A6:C6"/>
    <mergeCell ref="A7:C7"/>
    <mergeCell ref="A12:C12"/>
    <mergeCell ref="A8:C8"/>
    <mergeCell ref="A16:C16"/>
    <mergeCell ref="A17:C17"/>
    <mergeCell ref="A18:C18"/>
    <mergeCell ref="A19:C19"/>
  </mergeCells>
  <conditionalFormatting sqref="E7">
    <cfRule type="containsText" dxfId="0" priority="1" operator="containsText" text="No selection required">
      <formula>NOT(ISERROR(SEARCH("No selection required",E7)))</formula>
    </cfRule>
  </conditionalFormatting>
  <dataValidations count="7">
    <dataValidation type="list" allowBlank="1" showInputMessage="1" showErrorMessage="1" sqref="D8:D9 D11:D15 D19:D21 D24:D26 D17 D28:D31 D33:D36" xr:uid="{D37C0B6A-CB27-4EF4-80E1-166306E51497}">
      <formula1>$I$1:$I$2</formula1>
    </dataValidation>
    <dataValidation type="list" allowBlank="1" showInputMessage="1" showErrorMessage="1" sqref="D5:D6" xr:uid="{708D286D-4E4A-42AA-8228-C0186AB6BAF1}">
      <formula1>$J$2:$J$6</formula1>
    </dataValidation>
    <dataValidation type="list" allowBlank="1" showInputMessage="1" showErrorMessage="1" sqref="D7" xr:uid="{BF7A4A0B-9D31-488A-BD4D-83D6B9FA50B3}">
      <formula1>$J$1:$J$5</formula1>
    </dataValidation>
    <dataValidation type="whole" allowBlank="1" showInputMessage="1" showErrorMessage="1" errorTitle="Error" error="Only numerical values allowed" sqref="D10" xr:uid="{FAC797F9-4B9E-4F9F-A8DB-966CA7F22706}">
      <formula1>0</formula1>
      <formula2>100</formula2>
    </dataValidation>
    <dataValidation type="list" allowBlank="1" showInputMessage="1" showErrorMessage="1" sqref="D18" xr:uid="{5625D322-5356-4820-9732-17E0931664D9}">
      <formula1>$J$1:$J$3</formula1>
    </dataValidation>
    <dataValidation type="whole" allowBlank="1" showInputMessage="1" showErrorMessage="1" sqref="D23" xr:uid="{DCD0009E-CE5A-4C21-BC5A-BE0C8B6CD6F6}">
      <formula1>0</formula1>
      <formula2>100</formula2>
    </dataValidation>
    <dataValidation type="list" allowBlank="1" showInputMessage="1" showErrorMessage="1" sqref="D32" xr:uid="{38412560-EA14-4C77-AFDE-FC63EF13737D}">
      <formula1>$K$1:$K$3</formula1>
    </dataValidation>
  </dataValidation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29637-EDA2-471E-B1B1-5C1661E25ED6}">
  <sheetPr codeName="Sheet11">
    <tabColor theme="8" tint="-0.249977111117893"/>
  </sheetPr>
  <dimension ref="A1:EF55"/>
  <sheetViews>
    <sheetView zoomScale="110" zoomScaleNormal="110" workbookViewId="0">
      <pane xSplit="1" ySplit="1" topLeftCell="B2" activePane="bottomRight" state="frozen"/>
      <selection pane="topRight" activeCell="B1" sqref="B1"/>
      <selection pane="bottomLeft" activeCell="A2" sqref="A2"/>
      <selection pane="bottomRight" activeCell="B2" sqref="B2"/>
    </sheetView>
  </sheetViews>
  <sheetFormatPr defaultRowHeight="14.4" x14ac:dyDescent="0.3"/>
  <cols>
    <col min="1" max="1" width="46.5546875" customWidth="1"/>
    <col min="2" max="2" width="24.77734375" style="244" customWidth="1"/>
    <col min="3" max="3" width="3" style="244" hidden="1" customWidth="1"/>
    <col min="4" max="4" width="12.21875" hidden="1" customWidth="1"/>
    <col min="5" max="5" width="4" hidden="1" customWidth="1"/>
    <col min="6" max="6" width="24.77734375" customWidth="1"/>
    <col min="7" max="7" width="2" style="244" hidden="1" customWidth="1"/>
    <col min="8" max="9" width="7.77734375" style="244" hidden="1" customWidth="1"/>
    <col min="10" max="10" width="24.77734375" style="244" customWidth="1"/>
    <col min="11" max="13" width="7.77734375" style="244" hidden="1" customWidth="1"/>
    <col min="14" max="14" width="24.77734375" style="244" customWidth="1"/>
    <col min="15" max="17" width="7.77734375" style="244" hidden="1" customWidth="1"/>
    <col min="18" max="18" width="24.77734375" style="244" customWidth="1"/>
    <col min="19" max="21" width="7.77734375" style="244" hidden="1" customWidth="1"/>
    <col min="22" max="22" width="24.77734375" style="244" customWidth="1"/>
    <col min="23" max="25" width="7.77734375" style="244" hidden="1" customWidth="1"/>
    <col min="26" max="26" width="24.77734375" style="244" customWidth="1"/>
    <col min="27" max="29" width="7.77734375" style="244" hidden="1" customWidth="1"/>
    <col min="30" max="30" width="24.77734375" style="244" customWidth="1"/>
    <col min="31" max="33" width="7.77734375" style="244" hidden="1" customWidth="1"/>
    <col min="34" max="34" width="24.77734375" style="244" customWidth="1"/>
    <col min="35" max="37" width="7.77734375" style="244" hidden="1" customWidth="1"/>
    <col min="38" max="135" width="7.77734375" style="244" customWidth="1"/>
    <col min="136" max="136" width="8.88671875" customWidth="1"/>
  </cols>
  <sheetData>
    <row r="1" spans="1:136" ht="34.200000000000003" customHeight="1" x14ac:dyDescent="0.3">
      <c r="A1" s="294" t="s">
        <v>306</v>
      </c>
      <c r="B1" s="297" t="str">
        <f>IF('Manufacturing-Testing-Other'!A18="","",'Manufacturing-Testing-Other'!A18)</f>
        <v/>
      </c>
      <c r="C1" s="298"/>
      <c r="D1" s="299"/>
      <c r="E1" s="299"/>
      <c r="F1" s="300" t="str">
        <f>IF('Manufacturing-Testing-Other'!A19="","",'Manufacturing-Testing-Other'!A19)</f>
        <v/>
      </c>
      <c r="G1" s="300"/>
      <c r="H1" s="301"/>
      <c r="I1" s="301"/>
      <c r="J1" s="302" t="str">
        <f>IF('Manufacturing-Testing-Other'!A20="","",'Manufacturing-Testing-Other'!A20)</f>
        <v/>
      </c>
      <c r="K1" s="303"/>
      <c r="L1" s="301"/>
      <c r="M1" s="301"/>
      <c r="N1" s="304" t="str">
        <f>IF('Manufacturing-Testing-Other'!A21="","",'Manufacturing-Testing-Other'!A21)</f>
        <v/>
      </c>
      <c r="O1" s="303"/>
      <c r="P1" s="301"/>
      <c r="Q1" s="301"/>
      <c r="R1" s="304" t="str">
        <f>IF('Manufacturing-Testing-Other'!A22="","",'Manufacturing-Testing-Other'!A22)</f>
        <v/>
      </c>
      <c r="S1" s="303"/>
      <c r="T1" s="301"/>
      <c r="U1" s="301"/>
      <c r="V1" s="304" t="str">
        <f>IF('Manufacturing-Testing-Other'!A23="","",'Manufacturing-Testing-Other'!A23)</f>
        <v/>
      </c>
      <c r="W1" s="303"/>
      <c r="X1" s="301"/>
      <c r="Y1" s="301"/>
      <c r="Z1" s="304" t="str">
        <f>IF('Manufacturing-Testing-Other'!A24="","",'Manufacturing-Testing-Other'!A24)</f>
        <v/>
      </c>
      <c r="AA1" s="303"/>
      <c r="AB1" s="301"/>
      <c r="AC1" s="301"/>
      <c r="AD1" s="304" t="str">
        <f>IF('Manufacturing-Testing-Other'!A25="","",'Manufacturing-Testing-Other'!A25)</f>
        <v/>
      </c>
      <c r="AE1" s="303"/>
      <c r="AF1" s="301"/>
      <c r="AG1" s="301"/>
      <c r="AH1" s="304" t="str">
        <f>IF('Manufacturing-Testing-Other'!A26="","",'Manufacturing-Testing-Other'!A26)</f>
        <v/>
      </c>
      <c r="AI1" s="255"/>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row>
    <row r="2" spans="1:136" x14ac:dyDescent="0.3">
      <c r="A2" s="264" t="s">
        <v>205</v>
      </c>
      <c r="B2" s="262"/>
      <c r="F2" s="262"/>
      <c r="H2"/>
      <c r="I2"/>
      <c r="J2" s="262"/>
      <c r="L2"/>
      <c r="M2"/>
      <c r="N2" s="262"/>
      <c r="P2"/>
      <c r="Q2"/>
      <c r="R2" s="262"/>
      <c r="T2"/>
      <c r="U2"/>
      <c r="V2" s="262"/>
      <c r="X2"/>
      <c r="Y2"/>
      <c r="Z2" s="262"/>
      <c r="AB2"/>
      <c r="AC2"/>
      <c r="AD2" s="262"/>
      <c r="AF2"/>
      <c r="AG2"/>
      <c r="AH2" s="262"/>
      <c r="AJ2"/>
      <c r="AK2"/>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row>
    <row r="3" spans="1:136" x14ac:dyDescent="0.3">
      <c r="A3" s="265" t="s">
        <v>206</v>
      </c>
      <c r="B3" s="251"/>
      <c r="F3" s="251"/>
      <c r="H3"/>
      <c r="I3"/>
      <c r="J3" s="251"/>
      <c r="L3"/>
      <c r="M3"/>
      <c r="N3" s="251"/>
      <c r="P3"/>
      <c r="Q3"/>
      <c r="R3" s="251"/>
      <c r="T3"/>
      <c r="U3"/>
      <c r="V3" s="251"/>
      <c r="X3"/>
      <c r="Y3"/>
      <c r="Z3" s="251"/>
      <c r="AB3"/>
      <c r="AC3"/>
      <c r="AD3" s="251"/>
      <c r="AF3"/>
      <c r="AG3"/>
      <c r="AH3" s="251"/>
      <c r="AJ3"/>
      <c r="AK3"/>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row>
    <row r="4" spans="1:136" ht="24.6" customHeight="1" x14ac:dyDescent="0.3">
      <c r="A4" s="313" t="s">
        <v>224</v>
      </c>
      <c r="B4" s="251"/>
      <c r="C4" s="249">
        <f>IF(B6="Yes",1,0)</f>
        <v>0</v>
      </c>
      <c r="F4" s="251"/>
      <c r="G4" s="249">
        <f>IF(F6="Yes",1,0)</f>
        <v>0</v>
      </c>
      <c r="H4"/>
      <c r="I4"/>
      <c r="J4" s="251"/>
      <c r="K4" s="249">
        <f>IF(J6="Yes",1,0)</f>
        <v>0</v>
      </c>
      <c r="L4"/>
      <c r="M4"/>
      <c r="N4" s="251"/>
      <c r="O4" s="249">
        <f>IF(N6="Yes",1,0)</f>
        <v>0</v>
      </c>
      <c r="P4"/>
      <c r="Q4"/>
      <c r="R4" s="251"/>
      <c r="S4" s="249">
        <f>IF(R6="Yes",1,0)</f>
        <v>0</v>
      </c>
      <c r="T4"/>
      <c r="U4"/>
      <c r="V4" s="251"/>
      <c r="W4" s="249">
        <f>IF(V6="Yes",1,0)</f>
        <v>0</v>
      </c>
      <c r="X4"/>
      <c r="Y4"/>
      <c r="Z4" s="251"/>
      <c r="AA4" s="249">
        <f>IF(Z6="Yes",1,0)</f>
        <v>0</v>
      </c>
      <c r="AB4"/>
      <c r="AC4"/>
      <c r="AD4" s="251"/>
      <c r="AE4" s="249">
        <f>IF(AD6="Yes",1,0)</f>
        <v>0</v>
      </c>
      <c r="AF4"/>
      <c r="AG4"/>
      <c r="AH4" s="251"/>
      <c r="AI4" s="249">
        <f>IF(AH6="Yes",1,0)</f>
        <v>0</v>
      </c>
      <c r="AJ4"/>
      <c r="AK4"/>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row>
    <row r="5" spans="1:136" ht="27" customHeight="1" x14ac:dyDescent="0.3">
      <c r="A5" s="266" t="s">
        <v>218</v>
      </c>
      <c r="B5" s="251"/>
      <c r="C5" s="246">
        <f>IF(D5="",0,1)</f>
        <v>0</v>
      </c>
      <c r="D5" s="213" t="str">
        <f>IF(OR(B5="Yes",B7="Yes"),"Rx","")</f>
        <v/>
      </c>
      <c r="E5" s="213" t="str">
        <f>IF(AND(D5="Rx",E8=0),"Simple",IF(AND(D5="Rx",E8&lt;3),"Moderate",IF(AND(D5="Rx",E8&lt;5),"Complex",IF(AND(D5="Rx",E8&gt;4),"Very Complex",""))))</f>
        <v/>
      </c>
      <c r="F5" s="251"/>
      <c r="G5" s="246">
        <f>IF(H5="",0,1)</f>
        <v>0</v>
      </c>
      <c r="H5" s="213" t="str">
        <f>IF(OR(F5="Yes",F7="Yes"),"Rx","")</f>
        <v/>
      </c>
      <c r="I5" s="213" t="str">
        <f>IF(AND(H5="Rx",I8=0),"Simple",IF(AND(H5="Rx",I8&lt;3),"Moderate",IF(AND(H5="Rx",I8&lt;5),"Complex",IF(AND(H5="Rx",I8&gt;4),"Very Complex",""))))</f>
        <v/>
      </c>
      <c r="J5" s="251"/>
      <c r="K5" s="246">
        <f>IF(L5="",0,1)</f>
        <v>0</v>
      </c>
      <c r="L5" s="213" t="str">
        <f>IF(OR(J5="Yes",J7="Yes"),"Rx","")</f>
        <v/>
      </c>
      <c r="M5" s="213" t="str">
        <f>IF(AND(L5="Rx",M8=0),"Simple",IF(AND(L5="Rx",M8&lt;3),"Moderate",IF(AND(L5="Rx",M8&lt;5),"Complex",IF(AND(L5="Rx",M8&gt;4),"Very Complex",""))))</f>
        <v/>
      </c>
      <c r="N5" s="251"/>
      <c r="O5" s="246">
        <f>IF(P5="",0,1)</f>
        <v>0</v>
      </c>
      <c r="P5" s="213" t="str">
        <f>IF(OR(N5="Yes",N7="Yes"),"Rx","")</f>
        <v/>
      </c>
      <c r="Q5" s="213" t="str">
        <f>IF(AND(P5="Rx",Q8=0),"Simple",IF(AND(P5="Rx",Q8&lt;3),"Moderate",IF(AND(P5="Rx",Q8&lt;5),"Complex",IF(AND(P5="Rx",Q8&gt;4),"Very Complex",""))))</f>
        <v/>
      </c>
      <c r="R5" s="251"/>
      <c r="S5" s="246">
        <f>IF(T5="",0,1)</f>
        <v>0</v>
      </c>
      <c r="T5" s="213" t="str">
        <f>IF(OR(R5="Yes",R7="Yes"),"Rx","")</f>
        <v/>
      </c>
      <c r="U5" s="213" t="str">
        <f>IF(AND(T5="Rx",U8=0),"Simple",IF(AND(T5="Rx",U8&lt;3),"Moderate",IF(AND(T5="Rx",U8&lt;5),"Complex",IF(AND(T5="Rx",U8&gt;4),"Very Complex",""))))</f>
        <v/>
      </c>
      <c r="V5" s="251"/>
      <c r="W5" s="246">
        <f>IF(X5="",0,1)</f>
        <v>0</v>
      </c>
      <c r="X5" s="213" t="str">
        <f>IF(OR(V5="Yes",V7="Yes"),"Rx","")</f>
        <v/>
      </c>
      <c r="Y5" s="213" t="str">
        <f>IF(AND(X5="Rx",Y8=0),"Simple",IF(AND(X5="Rx",Y8&lt;3),"Moderate",IF(AND(X5="Rx",Y8&lt;5),"Complex",IF(AND(X5="Rx",Y8&gt;4),"Very Complex",""))))</f>
        <v/>
      </c>
      <c r="Z5" s="251"/>
      <c r="AA5" s="246">
        <f>IF(AB5="",0,1)</f>
        <v>0</v>
      </c>
      <c r="AB5" s="213" t="str">
        <f>IF(OR(Z5="Yes",Z7="Yes"),"Rx","")</f>
        <v/>
      </c>
      <c r="AC5" s="213" t="str">
        <f>IF(AND(AB5="Rx",AC8=0),"Simple",IF(AND(AB5="Rx",AC8&lt;3),"Moderate",IF(AND(AB5="Rx",AC8&lt;5),"Complex",IF(AND(AB5="Rx",AC8&gt;4),"Very Complex",""))))</f>
        <v/>
      </c>
      <c r="AD5" s="251"/>
      <c r="AE5" s="246">
        <f>IF(AF5="",0,1)</f>
        <v>0</v>
      </c>
      <c r="AF5" s="213" t="str">
        <f>IF(OR(AD5="Yes",AD7="Yes"),"Rx","")</f>
        <v/>
      </c>
      <c r="AG5" s="213" t="str">
        <f>IF(AND(AF5="Rx",AG8=0),"Simple",IF(AND(AF5="Rx",AG8&lt;3),"Moderate",IF(AND(AF5="Rx",AG8&lt;5),"Complex",IF(AND(AF5="Rx",AG8&gt;4),"Very Complex",""))))</f>
        <v/>
      </c>
      <c r="AH5" s="251"/>
      <c r="AI5" s="246">
        <f>IF(AJ5="",0,1)</f>
        <v>0</v>
      </c>
      <c r="AJ5" s="213" t="str">
        <f>IF(OR(AH5="Yes",AH7="Yes"),"Rx","")</f>
        <v/>
      </c>
      <c r="AK5" s="213" t="str">
        <f>IF(AND(AJ5="Rx",AK8=0),"Simple",IF(AND(AJ5="Rx",AK8&lt;3),"Moderate",IF(AND(AJ5="Rx",AK8&lt;5),"Complex",IF(AND(AJ5="Rx",AK8&gt;4),"Very Complex",""))))</f>
        <v/>
      </c>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t="s">
        <v>63</v>
      </c>
    </row>
    <row r="6" spans="1:136" ht="25.8" customHeight="1" x14ac:dyDescent="0.3">
      <c r="A6" s="266" t="s">
        <v>249</v>
      </c>
      <c r="B6" s="251"/>
      <c r="C6" s="324"/>
      <c r="D6" s="213"/>
      <c r="E6" s="213"/>
      <c r="F6" s="251"/>
      <c r="G6" s="324"/>
      <c r="H6" s="213"/>
      <c r="I6" s="213"/>
      <c r="J6" s="251"/>
      <c r="K6" s="324"/>
      <c r="L6" s="213"/>
      <c r="M6" s="213"/>
      <c r="N6" s="251"/>
      <c r="O6" s="324"/>
      <c r="P6" s="213"/>
      <c r="Q6" s="213"/>
      <c r="R6" s="251"/>
      <c r="S6" s="324"/>
      <c r="T6" s="213"/>
      <c r="U6" s="213"/>
      <c r="V6" s="251"/>
      <c r="W6" s="324"/>
      <c r="X6" s="213"/>
      <c r="Y6" s="213"/>
      <c r="Z6" s="251"/>
      <c r="AA6" s="324"/>
      <c r="AB6" s="213"/>
      <c r="AC6" s="213"/>
      <c r="AD6" s="251"/>
      <c r="AE6" s="324"/>
      <c r="AF6" s="213"/>
      <c r="AG6" s="213"/>
      <c r="AH6" s="251"/>
      <c r="AI6" s="324"/>
      <c r="AJ6" s="213"/>
      <c r="AK6" s="213"/>
      <c r="AL6" s="11"/>
      <c r="AM6" s="324"/>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t="s">
        <v>64</v>
      </c>
    </row>
    <row r="7" spans="1:136" x14ac:dyDescent="0.3">
      <c r="A7" s="267" t="s">
        <v>192</v>
      </c>
      <c r="B7" s="251"/>
      <c r="F7" s="251"/>
      <c r="H7"/>
      <c r="I7"/>
      <c r="J7" s="251"/>
      <c r="L7"/>
      <c r="M7"/>
      <c r="N7" s="251"/>
      <c r="P7"/>
      <c r="Q7"/>
      <c r="R7" s="251"/>
      <c r="T7"/>
      <c r="U7"/>
      <c r="V7" s="251"/>
      <c r="X7"/>
      <c r="Y7"/>
      <c r="Z7" s="251"/>
      <c r="AB7"/>
      <c r="AC7"/>
      <c r="AD7" s="251"/>
      <c r="AF7"/>
      <c r="AG7"/>
      <c r="AH7" s="251"/>
      <c r="AJ7"/>
      <c r="AK7"/>
    </row>
    <row r="8" spans="1:136" ht="27.6" customHeight="1" x14ac:dyDescent="0.3">
      <c r="A8" s="275" t="s">
        <v>213</v>
      </c>
      <c r="B8" s="251"/>
      <c r="C8" s="247">
        <f>IF(SUM(C11,C5,C9)&lt;1,1,0)</f>
        <v>1</v>
      </c>
      <c r="D8" s="248">
        <f>IF(B5="Yes",0,IF(B8&lt;15,0,IF(AND(B8&gt;14,B8&lt;61),1,IF(AND(B8&gt;60,B8&lt;121),2,IF(AND(B8&gt;120,B8&lt;200),3,5)))))</f>
        <v>0</v>
      </c>
      <c r="E8" s="111">
        <f>D8+C12+C19+C20+C22+C13+C15+C17+C18+C4</f>
        <v>0</v>
      </c>
      <c r="F8" s="251"/>
      <c r="G8" s="247">
        <f>IF(SUM(G11,G5,G9)&lt;1,1,0)</f>
        <v>1</v>
      </c>
      <c r="H8" s="248">
        <f>IF(F5="Yes",0,IF(F8&lt;15,0,IF(AND(F8&gt;14,F8&lt;61),1,IF(AND(F8&gt;60,F8&lt;121),2,IF(AND(F8&gt;120,F8&lt;200),3,5)))))</f>
        <v>0</v>
      </c>
      <c r="I8" s="111">
        <f>H8+G12+G19+G20+G22+G13+G15+G17+G18+G4</f>
        <v>0</v>
      </c>
      <c r="J8" s="251"/>
      <c r="K8" s="247">
        <f>IF(SUM(K11,K5,K9)&lt;1,1,0)</f>
        <v>1</v>
      </c>
      <c r="L8" s="248">
        <f>IF(J5="Yes",0,IF(J8&lt;15,0,IF(AND(J8&gt;14,J8&lt;61),1,IF(AND(J8&gt;60,J8&lt;121),2,IF(AND(J8&gt;120,J8&lt;200),3,5)))))</f>
        <v>0</v>
      </c>
      <c r="M8" s="111">
        <f>L8+K12+K19+K20+K22+K13+K15+K17+K18+K4</f>
        <v>0</v>
      </c>
      <c r="N8" s="251"/>
      <c r="O8" s="247">
        <f>IF(SUM(O11,O5,O9)&lt;1,1,0)</f>
        <v>1</v>
      </c>
      <c r="P8" s="248">
        <f>IF(N5="Yes",0,IF(N8&lt;15,0,IF(AND(N8&gt;14,N8&lt;61),1,IF(AND(N8&gt;60,N8&lt;121),2,IF(AND(N8&gt;120,N8&lt;200),3,5)))))</f>
        <v>0</v>
      </c>
      <c r="Q8" s="111">
        <f>P8+O12+O19+O20+O22+O13+O15+O17+O18+O4</f>
        <v>0</v>
      </c>
      <c r="R8" s="251"/>
      <c r="S8" s="247">
        <f>IF(SUM(S11,S5,S9)&lt;1,1,0)</f>
        <v>1</v>
      </c>
      <c r="T8" s="248">
        <f>IF(R5="Yes",0,IF(R8&lt;15,0,IF(AND(R8&gt;14,R8&lt;61),1,IF(AND(R8&gt;60,R8&lt;121),2,IF(AND(R8&gt;120,R8&lt;200),3,5)))))</f>
        <v>0</v>
      </c>
      <c r="U8" s="111">
        <f>T8+S12+S19+S20+S22+S13+S15+S17+S18+S4</f>
        <v>0</v>
      </c>
      <c r="V8" s="251"/>
      <c r="W8" s="247">
        <f>IF(SUM(W11,W5,W9)&lt;1,1,0)</f>
        <v>1</v>
      </c>
      <c r="X8" s="248">
        <f>IF(V5="Yes",0,IF(V8&lt;15,0,IF(AND(V8&gt;14,V8&lt;61),1,IF(AND(V8&gt;60,V8&lt;121),2,IF(AND(V8&gt;120,V8&lt;200),3,5)))))</f>
        <v>0</v>
      </c>
      <c r="Y8" s="111">
        <f>X8+W12+W19+W20+W22+W13+W15+W17+W18+W4</f>
        <v>0</v>
      </c>
      <c r="Z8" s="251"/>
      <c r="AA8" s="247">
        <f>IF(SUM(AA11,AA5,AA9)&lt;1,1,0)</f>
        <v>1</v>
      </c>
      <c r="AB8" s="248">
        <f>IF(Z5="Yes",0,IF(Z8&lt;15,0,IF(AND(Z8&gt;14,Z8&lt;61),1,IF(AND(Z8&gt;60,Z8&lt;121),2,IF(AND(Z8&gt;120,Z8&lt;200),3,5)))))</f>
        <v>0</v>
      </c>
      <c r="AC8" s="111">
        <f>AB8+AA12+AA19+AA20+AA22+AA13+AA15+AA17+AA18+AA4</f>
        <v>0</v>
      </c>
      <c r="AD8" s="251"/>
      <c r="AE8" s="247">
        <f>IF(SUM(AE11,AE5,AE9)&lt;1,1,0)</f>
        <v>1</v>
      </c>
      <c r="AF8" s="248">
        <f>IF(AD5="Yes",0,IF(AD8&lt;15,0,IF(AND(AD8&gt;14,AD8&lt;61),1,IF(AND(AD8&gt;60,AD8&lt;121),2,IF(AND(AD8&gt;120,AD8&lt;200),3,5)))))</f>
        <v>0</v>
      </c>
      <c r="AG8" s="111">
        <f>AF8+AE12+AE19+AE20+AE22+AE13+AE15+AE17+AE18+AE4</f>
        <v>0</v>
      </c>
      <c r="AH8" s="251"/>
      <c r="AI8" s="247">
        <f>IF(SUM(AI11,AI5,AI9)&lt;1,1,0)</f>
        <v>1</v>
      </c>
      <c r="AJ8" s="248">
        <f>IF(AH5="Yes",0,IF(AH8&lt;15,0,IF(AND(AH8&gt;14,AH8&lt;61),1,IF(AND(AH8&gt;60,AH8&lt;121),2,IF(AND(AH8&gt;120,AH8&lt;200),3,5)))))</f>
        <v>0</v>
      </c>
      <c r="AK8" s="111">
        <f>AJ8+AI12+AI19+AI20+AI22+AI13+AI15+AI17+AI18+AI4</f>
        <v>0</v>
      </c>
    </row>
    <row r="9" spans="1:136" x14ac:dyDescent="0.3">
      <c r="A9" s="267" t="s">
        <v>194</v>
      </c>
      <c r="B9" s="251"/>
      <c r="C9" s="246">
        <f>IF(D9="",0,1)</f>
        <v>0</v>
      </c>
      <c r="D9" s="213" t="str">
        <f>IF(B10="Yes","Sterile Prep",IF(AND(D5="",B10="No"),"Sterile Prep",""))</f>
        <v/>
      </c>
      <c r="E9" s="213" t="str">
        <f>IF(AND(D9="Sterile Prep",$C$23=0),"simple",IF(AND(D9="Sterile Prep",$C$23&lt;3),"moderate",IF(AND(D9="Sterile Prep",$C$23&lt;6),"complex",IF(AND(D9="Sterile Prep",$C$23&lt;10),"very complex",IF(AND(D9="Sterile Prep",$C$23&gt;9),"special preparation","")))))</f>
        <v/>
      </c>
      <c r="F9" s="251"/>
      <c r="G9" s="246">
        <f>IF(H9="",0,1)</f>
        <v>0</v>
      </c>
      <c r="H9" s="213" t="str">
        <f>IF(F10="Yes","Sterile Prep",IF(AND(H5="",F10="No"),"Sterile Prep",""))</f>
        <v/>
      </c>
      <c r="I9" s="213" t="str">
        <f>IF(AND(H9="Sterile Prep",$G$23=0),"simple",IF(AND(H9="Sterile Prep",$G$23&lt;3),"moderate",IF(AND(H9="Sterile Prep",$G$23&lt;6),"complex",IF(AND(H9="Sterile Prep",$G$23&lt;10),"very complex",IF(AND(H9="Sterile Prep",$G$23&gt;9),"special preparation","")))))</f>
        <v/>
      </c>
      <c r="J9" s="251"/>
      <c r="K9" s="246">
        <f>IF(L9="",0,1)</f>
        <v>0</v>
      </c>
      <c r="L9" s="213" t="str">
        <f>IF(J10="Yes","Sterile Prep",IF(AND(L5="",J10="No"),"Sterile Prep",""))</f>
        <v/>
      </c>
      <c r="M9" s="213" t="str">
        <f>IF(AND(L9="Sterile Prep",$K$23=0),"simple",IF(AND(L9="Sterile Prep",$K$23&lt;3),"moderate",IF(AND(L9="Sterile Prep",$K$23&lt;6),"complex",IF(AND(L9="Sterile Prep",$K$23&lt;10),"very complex",IF(AND(L9="Sterile Prep",$K$23&gt;9),"special preparation","")))))</f>
        <v/>
      </c>
      <c r="N9" s="251"/>
      <c r="O9" s="246">
        <f>IF(P9="",0,1)</f>
        <v>0</v>
      </c>
      <c r="P9" s="213" t="str">
        <f>IF(N10="Yes","Sterile Prep",IF(AND(P5="",N10="No"),"Sterile Prep",""))</f>
        <v/>
      </c>
      <c r="Q9" s="213" t="str">
        <f>IF(AND(P9="Sterile Prep",$O$23=0),"simple",IF(AND(P9="Sterile Prep",$O$23&lt;3),"moderate",IF(AND(P9="Sterile Prep",$O$23&lt;6),"complex",IF(AND(P9="Sterile Prep",$O$23&lt;10),"very complex",IF(AND(P9="Sterile Prep",$O$23&gt;9),"special preparation","")))))</f>
        <v/>
      </c>
      <c r="R9" s="251"/>
      <c r="S9" s="246">
        <f>IF(T9="",0,1)</f>
        <v>0</v>
      </c>
      <c r="T9" s="213" t="str">
        <f>IF(R10="Yes","Sterile Prep",IF(AND(T5="",R10="No"),"Sterile Prep",""))</f>
        <v/>
      </c>
      <c r="U9" s="213" t="str">
        <f>IF(AND(T9="Sterile Prep",$S$23=0),"simple",IF(AND(T9="Sterile Prep",$S$23&lt;3),"moderate",IF(AND(T9="Sterile Prep",$S$23&lt;6),"complex",IF(AND(T9="Sterile Prep",$S$23&lt;10),"very complex",IF(AND(T9="Sterile Prep",$S$23&gt;9),"special preparation","")))))</f>
        <v/>
      </c>
      <c r="V9" s="251"/>
      <c r="W9" s="246">
        <f>IF(X9="",0,1)</f>
        <v>0</v>
      </c>
      <c r="X9" s="213" t="str">
        <f>IF(V10="Yes","Sterile Prep",IF(AND(X5="",V10="No"),"Sterile Prep",""))</f>
        <v/>
      </c>
      <c r="Y9" s="213" t="str">
        <f>IF(AND(X9="Sterile Prep",$W$23=0),"simple",IF(AND(X9="Sterile Prep",$W$23&lt;3),"moderate",IF(AND(X9="Sterile Prep",$W$23&lt;6),"complex",IF(AND(X9="Sterile Prep",$W$23&lt;10),"very complex",IF(AND(X9="Sterile Prep",$W$23&gt;9),"special preparation","")))))</f>
        <v/>
      </c>
      <c r="Z9" s="251"/>
      <c r="AA9" s="246">
        <f>IF(AB9="",0,1)</f>
        <v>0</v>
      </c>
      <c r="AB9" s="213" t="str">
        <f>IF(Z10="Yes","Sterile Prep",IF(AND(AB5="",Z10="No"),"Sterile Prep",""))</f>
        <v/>
      </c>
      <c r="AC9" s="213" t="str">
        <f>IF(AND(AB9="Sterile Prep",$AA$23=0),"simple",IF(AND(AB9="Sterile Prep",$AA$23&lt;3),"moderate",IF(AND(AB9="Sterile Prep",$AA$23&lt;6),"complex",IF(AND(AB9="Sterile Prep",$AA$23&lt;10),"very complex",IF(AND(AB9="Sterile Prep",$AA$23&gt;9),"special preparation","")))))</f>
        <v/>
      </c>
      <c r="AD9" s="251"/>
      <c r="AE9" s="246">
        <f>IF(AF9="",0,1)</f>
        <v>0</v>
      </c>
      <c r="AF9" s="213" t="str">
        <f>IF(AD10="Yes","Sterile Prep",IF(AND(AF5="",AD10="No"),"Sterile Prep",""))</f>
        <v/>
      </c>
      <c r="AG9" s="213" t="str">
        <f>IF(AND(AF9="Sterile Prep",$AE$23=0),"simple",IF(AND(AF9="Sterile Prep",$AE$23&lt;3),"moderate",IF(AND(AF9="Sterile Prep",$AE$23&lt;6),"complex",IF(AND(AF9="Sterile Prep",$AE$23&lt;10),"very complex",IF(AND(AF9="Sterile Prep",$AE$23&gt;9),"special preparation","")))))</f>
        <v/>
      </c>
      <c r="AH9" s="251"/>
      <c r="AI9" s="246">
        <f>IF(AJ9="",0,1)</f>
        <v>0</v>
      </c>
      <c r="AJ9" s="213" t="str">
        <f>IF(AH10="Yes","Sterile Prep",IF(AND(AJ5="",AH10="No"),"Sterile Prep",""))</f>
        <v/>
      </c>
      <c r="AK9" s="213" t="str">
        <f>IF(AND(AJ9="Sterile Prep",$AI$23=0),"simple",IF(AND(AJ9="Sterile Prep",$AI$23&lt;3),"moderate",IF(AND(AJ9="Sterile Prep",$AI$23&lt;6),"complex",IF(AND(AJ9="Sterile Prep",$AI$23&lt;10),"very complex",IF(AND(AJ9="Sterile Prep",$AI$23&gt;9),"special preparation","")))))</f>
        <v/>
      </c>
    </row>
    <row r="10" spans="1:136" ht="30" customHeight="1" x14ac:dyDescent="0.3">
      <c r="A10" s="311" t="s">
        <v>220</v>
      </c>
      <c r="B10" s="251"/>
      <c r="C10" s="246"/>
      <c r="D10" s="213"/>
      <c r="E10" s="213"/>
      <c r="F10" s="251"/>
      <c r="G10" s="246"/>
      <c r="H10" s="213"/>
      <c r="I10" s="213"/>
      <c r="J10" s="251"/>
      <c r="K10" s="246"/>
      <c r="L10" s="213"/>
      <c r="M10" s="213"/>
      <c r="N10" s="251"/>
      <c r="O10" s="246"/>
      <c r="P10" s="213"/>
      <c r="Q10" s="213"/>
      <c r="R10" s="251"/>
      <c r="S10" s="246"/>
      <c r="T10" s="213"/>
      <c r="U10" s="213"/>
      <c r="V10" s="251"/>
      <c r="W10" s="246"/>
      <c r="X10" s="213"/>
      <c r="Y10" s="213"/>
      <c r="Z10" s="251"/>
      <c r="AA10" s="246"/>
      <c r="AB10" s="213"/>
      <c r="AC10" s="213"/>
      <c r="AD10" s="251"/>
      <c r="AE10" s="246"/>
      <c r="AF10" s="213"/>
      <c r="AG10" s="213"/>
      <c r="AH10" s="251"/>
      <c r="AI10" s="246"/>
      <c r="AJ10" s="213"/>
      <c r="AK10" s="213"/>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295"/>
      <c r="DE10" s="295"/>
      <c r="DF10" s="295"/>
      <c r="DG10" s="295"/>
      <c r="DH10" s="295"/>
      <c r="DI10" s="295"/>
      <c r="DJ10" s="295"/>
      <c r="DK10" s="295"/>
      <c r="DL10" s="295"/>
      <c r="DM10" s="295"/>
      <c r="DN10" s="295"/>
      <c r="DO10" s="295"/>
      <c r="DP10" s="295"/>
      <c r="DQ10" s="295"/>
      <c r="DR10" s="295"/>
      <c r="DS10" s="295"/>
      <c r="DT10" s="295"/>
      <c r="DU10" s="295"/>
      <c r="DV10" s="295"/>
      <c r="DW10" s="295"/>
      <c r="DX10" s="295"/>
      <c r="DY10" s="295"/>
      <c r="DZ10" s="295"/>
      <c r="EA10" s="295"/>
      <c r="EB10" s="295"/>
      <c r="EC10" s="295"/>
      <c r="ED10" s="295"/>
      <c r="EE10" s="295"/>
    </row>
    <row r="11" spans="1:136" x14ac:dyDescent="0.3">
      <c r="A11" s="267" t="s">
        <v>195</v>
      </c>
      <c r="B11" s="251"/>
      <c r="C11" s="246">
        <f>IF(D11="",0,1)</f>
        <v>0</v>
      </c>
      <c r="D11" s="213" t="str">
        <f>IF(B11="Yes","Sterile Prep","")</f>
        <v/>
      </c>
      <c r="E11" s="213" t="str">
        <f>IF(AND(D11="Sterile Prep",$C$23=0),"simple",IF(AND(D11="Sterile Prep",$C$23&lt;3),"moderate",IF(AND(D11="Sterile Prep",$C$23&lt;6),"complex",IF(AND(D11="Sterile Prep",$C$23&lt;10),"very complex",IF(AND(D11="Sterile Prep",$C$23&gt;9),"special preparation","")))))</f>
        <v/>
      </c>
      <c r="F11" s="251"/>
      <c r="G11" s="246">
        <f>IF(H11="",0,1)</f>
        <v>0</v>
      </c>
      <c r="H11" s="213" t="str">
        <f>IF(F11="Yes","Sterile Prep","")</f>
        <v/>
      </c>
      <c r="I11" s="213" t="str">
        <f>IF(AND(H11="Sterile Prep",$G$23=0),"simple",IF(AND(H11="Sterile Prep",$G$23&lt;3),"moderate",IF(AND(H11="Sterile Prep",$G$23&lt;6),"complex",IF(AND(H11="Sterile Prep",$G$23&lt;10),"very complex",IF(AND(H11="Sterile Prep",$G$23&gt;9),"special preparation","")))))</f>
        <v/>
      </c>
      <c r="J11" s="251"/>
      <c r="K11" s="246">
        <f>IF(L11="",0,1)</f>
        <v>0</v>
      </c>
      <c r="L11" s="213" t="str">
        <f>IF(J11="Yes","Sterile Prep","")</f>
        <v/>
      </c>
      <c r="M11" s="213" t="str">
        <f>IF(AND(L11="Sterile Prep",$K$23=0),"simple",IF(AND(L11="Sterile Prep",$K$23&lt;3),"moderate",IF(AND(L11="Sterile Prep",$K$23&lt;6),"complex",IF(AND(L11="Sterile Prep",$K$23&lt;10),"very complex",IF(AND(L11="Sterile Prep",$K$23&gt;9),"special preparation","")))))</f>
        <v/>
      </c>
      <c r="N11" s="251"/>
      <c r="O11" s="246">
        <f>IF(P11="",0,1)</f>
        <v>0</v>
      </c>
      <c r="P11" s="213" t="str">
        <f>IF(N11="Yes","Sterile Prep","")</f>
        <v/>
      </c>
      <c r="Q11" s="213" t="str">
        <f>IF(AND(P11="Sterile Prep",$O$23=0),"simple",IF(AND(P11="Sterile Prep",$O$23&lt;3),"moderate",IF(AND(P11="Sterile Prep",$O$23&lt;6),"complex",IF(AND(P11="Sterile Prep",$O$23&lt;10),"very complex",IF(AND(P11="Sterile Prep",$O$23&gt;9),"special preparation","")))))</f>
        <v/>
      </c>
      <c r="R11" s="251"/>
      <c r="S11" s="246">
        <f>IF(T11="",0,1)</f>
        <v>0</v>
      </c>
      <c r="T11" s="213" t="str">
        <f>IF(R11="Yes","Sterile Prep","")</f>
        <v/>
      </c>
      <c r="U11" s="213" t="str">
        <f>IF(AND(T11="Sterile Prep",$S$23=0),"simple",IF(AND(T11="Sterile Prep",$S$23&lt;3),"moderate",IF(AND(T11="Sterile Prep",$S$23&lt;6),"complex",IF(AND(T11="Sterile Prep",$S$23&lt;10),"very complex",IF(AND(T11="Sterile Prep",$S$23&gt;9),"special preparation","")))))</f>
        <v/>
      </c>
      <c r="V11" s="251"/>
      <c r="W11" s="246">
        <f>IF(X11="",0,1)</f>
        <v>0</v>
      </c>
      <c r="X11" s="213" t="str">
        <f>IF(V11="Yes","Sterile Prep","")</f>
        <v/>
      </c>
      <c r="Y11" s="213" t="str">
        <f>IF(AND(X11="Sterile Prep",$W$23=0),"simple",IF(AND(X11="Sterile Prep",$W$23&lt;3),"moderate",IF(AND(X11="Sterile Prep",$W$23&lt;6),"complex",IF(AND(X11="Sterile Prep",$W$23&lt;10),"very complex",IF(AND(X11="Sterile Prep",$W$23&gt;9),"special preparation","")))))</f>
        <v/>
      </c>
      <c r="Z11" s="251"/>
      <c r="AA11" s="246">
        <f>IF(AB11="",0,1)</f>
        <v>0</v>
      </c>
      <c r="AB11" s="213" t="str">
        <f>IF(Z11="Yes","Sterile Prep","")</f>
        <v/>
      </c>
      <c r="AC11" s="213" t="str">
        <f>IF(AND(AB11="Sterile Prep",$AA$23=0),"simple",IF(AND(AB11="Sterile Prep",$AA$23&lt;3),"moderate",IF(AND(AB11="Sterile Prep",$AA$23&lt;6),"complex",IF(AND(AB11="Sterile Prep",$AA$23&lt;10),"very complex",IF(AND(AB11="Sterile Prep",$AA$23&gt;9),"special preparation","")))))</f>
        <v/>
      </c>
      <c r="AD11" s="251"/>
      <c r="AE11" s="246">
        <f>IF(AF11="",0,1)</f>
        <v>0</v>
      </c>
      <c r="AF11" s="213" t="str">
        <f>IF(AD11="Yes","Sterile Prep","")</f>
        <v/>
      </c>
      <c r="AG11" s="213" t="str">
        <f>IF(AND(AF11="Sterile Prep",$AE$23=0),"simple",IF(AND(AF11="Sterile Prep",$AE$23&lt;3),"moderate",IF(AND(AF11="Sterile Prep",$AE$23&lt;6),"complex",IF(AND(AF11="Sterile Prep",$AE$23&lt;10),"very complex",IF(AND(AF11="Sterile Prep",$AE$23&gt;9),"special preparation","")))))</f>
        <v/>
      </c>
      <c r="AH11" s="251"/>
      <c r="AI11" s="246">
        <f>IF(AJ11="",0,1)</f>
        <v>0</v>
      </c>
      <c r="AJ11" s="213" t="str">
        <f>IF(AH11="Yes","Sterile Prep","")</f>
        <v/>
      </c>
      <c r="AK11" s="213" t="str">
        <f>IF(AND(AJ11="Sterile Prep",$AI$23=0),"simple",IF(AND(AJ11="Sterile Prep",$AI$23&lt;3),"moderate",IF(AND(AJ11="Sterile Prep",$AI$23&lt;6),"complex",IF(AND(AJ11="Sterile Prep",$AI$23&lt;10),"very complex",IF(AND(AJ11="Sterile Prep",$AI$23&gt;9),"special preparation","")))))</f>
        <v/>
      </c>
    </row>
    <row r="12" spans="1:136" x14ac:dyDescent="0.3">
      <c r="A12" s="266" t="s">
        <v>207</v>
      </c>
      <c r="B12" s="251"/>
      <c r="C12" s="249">
        <f>IF(B12="Yes",1,0)</f>
        <v>0</v>
      </c>
      <c r="F12" s="251"/>
      <c r="G12" s="249">
        <f>IF(F12="Yes",1,0)</f>
        <v>0</v>
      </c>
      <c r="H12"/>
      <c r="I12"/>
      <c r="J12" s="251"/>
      <c r="K12" s="249">
        <f>IF(J12="Yes",1,0)</f>
        <v>0</v>
      </c>
      <c r="L12"/>
      <c r="M12"/>
      <c r="N12" s="251"/>
      <c r="O12" s="249">
        <f>IF(N12="Yes",1,0)</f>
        <v>0</v>
      </c>
      <c r="P12"/>
      <c r="Q12"/>
      <c r="R12" s="251"/>
      <c r="S12" s="249">
        <f>IF(R12="Yes",1,0)</f>
        <v>0</v>
      </c>
      <c r="T12"/>
      <c r="U12"/>
      <c r="V12" s="251"/>
      <c r="W12" s="249">
        <f>IF(V12="Yes",1,0)</f>
        <v>0</v>
      </c>
      <c r="X12"/>
      <c r="Y12"/>
      <c r="Z12" s="251"/>
      <c r="AA12" s="249">
        <f>IF(Z12="Yes",1,0)</f>
        <v>0</v>
      </c>
      <c r="AB12"/>
      <c r="AC12"/>
      <c r="AD12" s="251"/>
      <c r="AE12" s="249">
        <f>IF(AD12="Yes",1,0)</f>
        <v>0</v>
      </c>
      <c r="AF12"/>
      <c r="AG12"/>
      <c r="AH12" s="251"/>
      <c r="AI12" s="249">
        <f>IF(AH12="Yes",1,0)</f>
        <v>0</v>
      </c>
      <c r="AJ12"/>
      <c r="AK12"/>
    </row>
    <row r="13" spans="1:136" x14ac:dyDescent="0.3">
      <c r="A13" s="267" t="s">
        <v>197</v>
      </c>
      <c r="B13" s="251"/>
      <c r="C13" s="249">
        <f>IF(B13="Yes",1,0)</f>
        <v>0</v>
      </c>
      <c r="F13" s="251"/>
      <c r="G13" s="249">
        <f>IF(F13="Yes",1,0)</f>
        <v>0</v>
      </c>
      <c r="H13"/>
      <c r="I13"/>
      <c r="J13" s="251"/>
      <c r="K13" s="249">
        <f>IF(J13="Yes",1,0)</f>
        <v>0</v>
      </c>
      <c r="L13"/>
      <c r="M13"/>
      <c r="N13" s="251"/>
      <c r="O13" s="249">
        <f>IF(N13="Yes",1,0)</f>
        <v>0</v>
      </c>
      <c r="P13"/>
      <c r="Q13"/>
      <c r="R13" s="251"/>
      <c r="S13" s="249">
        <f>IF(R13="Yes",1,0)</f>
        <v>0</v>
      </c>
      <c r="T13"/>
      <c r="U13"/>
      <c r="V13" s="251"/>
      <c r="W13" s="249">
        <f>IF(V13="Yes",1,0)</f>
        <v>0</v>
      </c>
      <c r="X13"/>
      <c r="Y13"/>
      <c r="Z13" s="251"/>
      <c r="AA13" s="249">
        <f>IF(Z13="Yes",1,0)</f>
        <v>0</v>
      </c>
      <c r="AB13"/>
      <c r="AC13"/>
      <c r="AD13" s="251"/>
      <c r="AE13" s="249">
        <f>IF(AD13="Yes",1,0)</f>
        <v>0</v>
      </c>
      <c r="AF13"/>
      <c r="AG13"/>
      <c r="AH13" s="251"/>
      <c r="AI13" s="249">
        <f>IF(AH13="Yes",1,0)</f>
        <v>0</v>
      </c>
      <c r="AJ13"/>
      <c r="AK13"/>
    </row>
    <row r="14" spans="1:136" x14ac:dyDescent="0.3">
      <c r="A14" s="267" t="s">
        <v>223</v>
      </c>
      <c r="B14" s="251"/>
      <c r="F14" s="251"/>
      <c r="H14"/>
      <c r="I14"/>
      <c r="J14" s="251"/>
      <c r="L14"/>
      <c r="M14"/>
      <c r="N14" s="251"/>
      <c r="P14"/>
      <c r="Q14"/>
      <c r="R14" s="251"/>
      <c r="T14"/>
      <c r="U14"/>
      <c r="V14" s="251"/>
      <c r="X14"/>
      <c r="Y14"/>
      <c r="Z14" s="251"/>
      <c r="AB14"/>
      <c r="AC14"/>
      <c r="AD14" s="251"/>
      <c r="AF14"/>
      <c r="AG14"/>
      <c r="AH14" s="251"/>
      <c r="AJ14"/>
      <c r="AK14"/>
    </row>
    <row r="15" spans="1:136" ht="38.4" x14ac:dyDescent="0.3">
      <c r="A15" s="275" t="s">
        <v>345</v>
      </c>
      <c r="B15" s="251"/>
      <c r="C15" s="249">
        <f>IF(B15&lt;6,B15,ROUND(((B15-5)/2)+5,0))</f>
        <v>0</v>
      </c>
      <c r="F15" s="251"/>
      <c r="G15" s="249">
        <f>IF(F15&lt;6,F15,ROUND(((F15-5)/2)+5,0))</f>
        <v>0</v>
      </c>
      <c r="H15"/>
      <c r="I15"/>
      <c r="J15" s="251"/>
      <c r="K15" s="249">
        <f>IF(J15&lt;6,J15,ROUND(((J15-5)/2)+5,0))</f>
        <v>0</v>
      </c>
      <c r="L15"/>
      <c r="M15"/>
      <c r="N15" s="251"/>
      <c r="O15" s="249">
        <f>IF(N15&lt;6,N15,ROUND(((N15-5)/2)+5,0))</f>
        <v>0</v>
      </c>
      <c r="P15"/>
      <c r="Q15"/>
      <c r="R15" s="251"/>
      <c r="S15" s="249">
        <f>IF(R15&lt;6,R15,ROUND(((R15-5)/2)+5,0))</f>
        <v>0</v>
      </c>
      <c r="T15"/>
      <c r="U15"/>
      <c r="V15" s="251"/>
      <c r="W15" s="249">
        <f>IF(V15&lt;6,V15,ROUND(((V15-5)/2)+5,0))</f>
        <v>0</v>
      </c>
      <c r="X15"/>
      <c r="Y15"/>
      <c r="Z15" s="251"/>
      <c r="AA15" s="249">
        <f>IF(Z15&lt;6,Z15,ROUND(((Z15-5)/2)+5,0))</f>
        <v>0</v>
      </c>
      <c r="AB15"/>
      <c r="AC15"/>
      <c r="AD15" s="251"/>
      <c r="AE15" s="249">
        <f>IF(AD15&lt;6,AD15,ROUND(((AD15-5)/2)+5,0))</f>
        <v>0</v>
      </c>
      <c r="AF15"/>
      <c r="AG15"/>
      <c r="AH15" s="251"/>
      <c r="AI15" s="249">
        <f>IF(AH15&lt;6,AH15,ROUND(((AH15-5)/2)+5,0))</f>
        <v>0</v>
      </c>
      <c r="AJ15"/>
      <c r="AK15"/>
    </row>
    <row r="16" spans="1:136" x14ac:dyDescent="0.3">
      <c r="A16" s="267" t="s">
        <v>202</v>
      </c>
      <c r="B16" s="251"/>
      <c r="F16" s="251"/>
      <c r="H16"/>
      <c r="I16"/>
      <c r="J16" s="251"/>
      <c r="L16"/>
      <c r="M16"/>
      <c r="N16" s="251"/>
      <c r="P16"/>
      <c r="Q16"/>
      <c r="R16" s="251"/>
      <c r="T16"/>
      <c r="U16"/>
      <c r="V16" s="251"/>
      <c r="X16"/>
      <c r="Y16"/>
      <c r="Z16" s="251"/>
      <c r="AB16"/>
      <c r="AC16"/>
      <c r="AD16" s="251"/>
      <c r="AF16"/>
      <c r="AG16"/>
      <c r="AH16" s="251"/>
      <c r="AJ16"/>
      <c r="AK16"/>
    </row>
    <row r="17" spans="1:37" x14ac:dyDescent="0.3">
      <c r="A17" s="276" t="s">
        <v>209</v>
      </c>
      <c r="B17" s="251"/>
      <c r="C17" s="249">
        <f>B17</f>
        <v>0</v>
      </c>
      <c r="F17" s="251"/>
      <c r="G17" s="249">
        <f>F17</f>
        <v>0</v>
      </c>
      <c r="H17"/>
      <c r="I17"/>
      <c r="J17" s="251"/>
      <c r="K17" s="249">
        <f>J17</f>
        <v>0</v>
      </c>
      <c r="L17"/>
      <c r="M17"/>
      <c r="N17" s="251"/>
      <c r="O17" s="249">
        <f>N17</f>
        <v>0</v>
      </c>
      <c r="P17"/>
      <c r="Q17"/>
      <c r="R17" s="251"/>
      <c r="S17" s="249">
        <f>R17</f>
        <v>0</v>
      </c>
      <c r="T17"/>
      <c r="U17"/>
      <c r="V17" s="251"/>
      <c r="W17" s="249">
        <f>V17</f>
        <v>0</v>
      </c>
      <c r="X17"/>
      <c r="Y17"/>
      <c r="Z17" s="251"/>
      <c r="AA17" s="249">
        <f>Z17</f>
        <v>0</v>
      </c>
      <c r="AB17"/>
      <c r="AC17"/>
      <c r="AD17" s="251"/>
      <c r="AE17" s="249">
        <f>AD17</f>
        <v>0</v>
      </c>
      <c r="AF17"/>
      <c r="AG17"/>
      <c r="AH17" s="251"/>
      <c r="AI17" s="249">
        <f>AH17</f>
        <v>0</v>
      </c>
      <c r="AJ17"/>
      <c r="AK17"/>
    </row>
    <row r="18" spans="1:37" x14ac:dyDescent="0.3">
      <c r="A18" s="267" t="s">
        <v>203</v>
      </c>
      <c r="B18" s="251"/>
      <c r="C18" s="249">
        <f>IF(B18="Yes",1,0)</f>
        <v>0</v>
      </c>
      <c r="F18" s="251"/>
      <c r="G18" s="249">
        <f>IF(F18="Yes",1,0)</f>
        <v>0</v>
      </c>
      <c r="H18"/>
      <c r="I18"/>
      <c r="J18" s="251"/>
      <c r="K18" s="249">
        <f>IF(J18="Yes",1,0)</f>
        <v>0</v>
      </c>
      <c r="L18"/>
      <c r="M18"/>
      <c r="N18" s="251"/>
      <c r="O18" s="249">
        <f>IF(N18="Yes",1,0)</f>
        <v>0</v>
      </c>
      <c r="P18"/>
      <c r="Q18"/>
      <c r="R18" s="251"/>
      <c r="S18" s="249">
        <f>IF(R18="Yes",1,0)</f>
        <v>0</v>
      </c>
      <c r="T18"/>
      <c r="U18"/>
      <c r="V18" s="251"/>
      <c r="W18" s="249">
        <f>IF(V18="Yes",1,0)</f>
        <v>0</v>
      </c>
      <c r="X18"/>
      <c r="Y18"/>
      <c r="Z18" s="251"/>
      <c r="AA18" s="249">
        <f>IF(Z18="Yes",1,0)</f>
        <v>0</v>
      </c>
      <c r="AB18"/>
      <c r="AC18"/>
      <c r="AD18" s="251"/>
      <c r="AE18" s="249">
        <f>IF(AD18="Yes",1,0)</f>
        <v>0</v>
      </c>
      <c r="AF18"/>
      <c r="AG18"/>
      <c r="AH18" s="251"/>
      <c r="AI18" s="249">
        <f>IF(AH18="Yes",1,0)</f>
        <v>0</v>
      </c>
      <c r="AJ18"/>
      <c r="AK18"/>
    </row>
    <row r="19" spans="1:37" ht="27.6" x14ac:dyDescent="0.3">
      <c r="A19" s="266" t="s">
        <v>204</v>
      </c>
      <c r="B19" s="251"/>
      <c r="C19" s="249">
        <f>IF(AND(B19="Yes",(C12+C13+C15+C17)&lt;3),1,IF(AND(B19="Yes",(C12+C13+C15+C17)&gt;2),2,0))</f>
        <v>0</v>
      </c>
      <c r="F19" s="251"/>
      <c r="G19" s="249">
        <f>IF(AND(F19="Yes",(G12+G13+G15+G17)&lt;3),1,IF(AND(F19="Yes",(G12+G13+G15+G17)&gt;2),2,0))</f>
        <v>0</v>
      </c>
      <c r="H19"/>
      <c r="I19"/>
      <c r="J19" s="251"/>
      <c r="K19" s="249">
        <f>IF(AND(J19="Yes",(K12+K13+K15+K17)&lt;3),1,IF(AND(J19="Yes",(K12+K13+K15+K17)&gt;2),2,0))</f>
        <v>0</v>
      </c>
      <c r="L19"/>
      <c r="M19"/>
      <c r="N19" s="251"/>
      <c r="O19" s="249">
        <f>IF(AND(N19="Yes",(O12+O13+O15+O17)&lt;3),1,IF(AND(N19="Yes",(O12+O13+O15+O17)&gt;2),2,0))</f>
        <v>0</v>
      </c>
      <c r="P19"/>
      <c r="Q19"/>
      <c r="R19" s="251"/>
      <c r="S19" s="249">
        <f>IF(AND(R19="Yes",(S12+S13+S15+S17)&lt;3),1,IF(AND(R19="Yes",(S12+S13+S15+S17)&gt;2),2,0))</f>
        <v>0</v>
      </c>
      <c r="T19"/>
      <c r="U19"/>
      <c r="V19" s="251"/>
      <c r="W19" s="249">
        <f>IF(AND(V19="Yes",(W12+W13+W15+W17)&lt;3),1,IF(AND(V19="Yes",(W12+W13+W15+W17)&gt;2),2,0))</f>
        <v>0</v>
      </c>
      <c r="X19"/>
      <c r="Y19"/>
      <c r="Z19" s="251"/>
      <c r="AA19" s="249">
        <f>IF(AND(Z19="Yes",(AA12+AA13+AA15+AA17)&lt;3),1,IF(AND(Z19="Yes",(AA12+AA13+AA15+AA17)&gt;2),2,0))</f>
        <v>0</v>
      </c>
      <c r="AB19"/>
      <c r="AC19"/>
      <c r="AD19" s="251"/>
      <c r="AE19" s="249">
        <f>IF(AND(AD19="Yes",(AE12+AE13+AE15+AE17)&lt;3),1,IF(AND(AD19="Yes",(AE12+AE13+AE15+AE17)&gt;2),2,0))</f>
        <v>0</v>
      </c>
      <c r="AF19"/>
      <c r="AG19"/>
      <c r="AH19" s="251"/>
      <c r="AI19" s="249">
        <f>IF(AND(AH19="Yes",(AI12+AI13+AI15+AI17)&lt;3),1,IF(AND(AH19="Yes",(AI12+AI13+AI15+AI17)&gt;2),2,0))</f>
        <v>0</v>
      </c>
      <c r="AJ19"/>
      <c r="AK19"/>
    </row>
    <row r="20" spans="1:37" x14ac:dyDescent="0.3">
      <c r="A20" s="267" t="s">
        <v>222</v>
      </c>
      <c r="B20" s="251"/>
      <c r="C20" s="249">
        <f>IF(B20="Yes",3,0)</f>
        <v>0</v>
      </c>
      <c r="F20" s="251"/>
      <c r="G20" s="249">
        <f>IF(F20="Yes",3,0)</f>
        <v>0</v>
      </c>
      <c r="H20"/>
      <c r="I20"/>
      <c r="J20" s="251"/>
      <c r="K20" s="249">
        <f>IF(J20="Yes",3,0)</f>
        <v>0</v>
      </c>
      <c r="L20"/>
      <c r="M20"/>
      <c r="N20" s="251"/>
      <c r="O20" s="249">
        <f>IF(N20="Yes",3,0)</f>
        <v>0</v>
      </c>
      <c r="P20"/>
      <c r="Q20"/>
      <c r="R20" s="251"/>
      <c r="S20" s="249">
        <f>IF(R20="Yes",3,0)</f>
        <v>0</v>
      </c>
      <c r="T20"/>
      <c r="U20"/>
      <c r="V20" s="251"/>
      <c r="W20" s="249">
        <f>IF(V20="Yes",3,0)</f>
        <v>0</v>
      </c>
      <c r="X20"/>
      <c r="Y20"/>
      <c r="Z20" s="251"/>
      <c r="AA20" s="249">
        <f>IF(Z20="Yes",3,0)</f>
        <v>0</v>
      </c>
      <c r="AB20"/>
      <c r="AC20"/>
      <c r="AD20" s="251"/>
      <c r="AE20" s="249">
        <f>IF(AD20="Yes",3,0)</f>
        <v>0</v>
      </c>
      <c r="AF20"/>
      <c r="AG20"/>
      <c r="AH20" s="251"/>
      <c r="AI20" s="249">
        <f>IF(AH20="Yes",3,0)</f>
        <v>0</v>
      </c>
      <c r="AJ20"/>
      <c r="AK20"/>
    </row>
    <row r="21" spans="1:37" ht="19.8" customHeight="1" x14ac:dyDescent="0.3">
      <c r="A21" s="268" t="s">
        <v>330</v>
      </c>
      <c r="B21" s="360"/>
      <c r="C21" s="359">
        <f>IF(B21="Yes",1,0)</f>
        <v>0</v>
      </c>
      <c r="D21" s="323"/>
      <c r="E21" s="323"/>
      <c r="F21" s="360"/>
      <c r="G21" s="359">
        <f>IF(F21="Yes",1,0)</f>
        <v>0</v>
      </c>
      <c r="H21" s="323"/>
      <c r="I21" s="323"/>
      <c r="J21" s="360"/>
      <c r="K21" s="359">
        <f>IF(J21="Yes",1,0)</f>
        <v>0</v>
      </c>
      <c r="L21" s="323"/>
      <c r="M21" s="323"/>
      <c r="N21" s="360"/>
      <c r="O21" s="359">
        <f>IF(N21="Yes",1,0)</f>
        <v>0</v>
      </c>
      <c r="P21" s="323"/>
      <c r="Q21" s="323"/>
      <c r="R21" s="360"/>
      <c r="S21" s="359">
        <f>IF(R21="Yes",1,0)</f>
        <v>0</v>
      </c>
      <c r="T21" s="310"/>
      <c r="U21" s="310"/>
      <c r="V21" s="360"/>
      <c r="W21" s="359">
        <f>IF(V21="Yes",1,0)</f>
        <v>0</v>
      </c>
      <c r="X21" s="310"/>
      <c r="Y21" s="310"/>
      <c r="Z21" s="360"/>
      <c r="AA21" s="359">
        <f>IF(Z21="Yes",1,0)</f>
        <v>0</v>
      </c>
      <c r="AB21" s="310"/>
      <c r="AC21" s="310"/>
      <c r="AD21" s="360"/>
      <c r="AE21" s="359">
        <f>IF(AD21="Yes",1,0)</f>
        <v>0</v>
      </c>
      <c r="AF21" s="310"/>
      <c r="AG21" s="310"/>
      <c r="AH21" s="360"/>
      <c r="AI21" s="359">
        <f>IF(AH21="Yes",1,0)</f>
        <v>0</v>
      </c>
      <c r="AJ21"/>
      <c r="AK21"/>
    </row>
    <row r="22" spans="1:37" ht="43.2" customHeight="1" x14ac:dyDescent="0.3">
      <c r="A22" s="305" t="s">
        <v>208</v>
      </c>
      <c r="B22" s="306"/>
      <c r="C22" s="289">
        <f>IF(B22="",0,1)</f>
        <v>0</v>
      </c>
      <c r="D22" s="290"/>
      <c r="E22" s="290"/>
      <c r="F22" s="306"/>
      <c r="G22" s="289">
        <f>IF(F22="",0,1)</f>
        <v>0</v>
      </c>
      <c r="H22" s="290"/>
      <c r="I22" s="290"/>
      <c r="J22" s="306"/>
      <c r="K22" s="289">
        <f>IF(J22="",0,1)</f>
        <v>0</v>
      </c>
      <c r="L22" s="290"/>
      <c r="M22" s="290"/>
      <c r="N22" s="306"/>
      <c r="O22" s="289">
        <f>IF(N22="",0,1)</f>
        <v>0</v>
      </c>
      <c r="P22" s="290"/>
      <c r="Q22" s="290"/>
      <c r="R22" s="306"/>
      <c r="S22" s="291">
        <f>IF(R22="",0,1)</f>
        <v>0</v>
      </c>
      <c r="T22" s="216"/>
      <c r="U22" s="216"/>
      <c r="V22" s="306"/>
      <c r="W22" s="291">
        <f>IF(V22="",0,1)</f>
        <v>0</v>
      </c>
      <c r="X22" s="216"/>
      <c r="Y22" s="216"/>
      <c r="Z22" s="306"/>
      <c r="AA22" s="291">
        <f>IF(Z22="",0,1)</f>
        <v>0</v>
      </c>
      <c r="AB22" s="216"/>
      <c r="AC22" s="216"/>
      <c r="AD22" s="306"/>
      <c r="AE22" s="291">
        <f>IF(AD22="",0,1)</f>
        <v>0</v>
      </c>
      <c r="AF22" s="216"/>
      <c r="AG22" s="216"/>
      <c r="AH22" s="306"/>
      <c r="AI22" s="249">
        <f>IF(AH22="",0,1)</f>
        <v>0</v>
      </c>
      <c r="AJ22"/>
      <c r="AK22"/>
    </row>
    <row r="23" spans="1:37" hidden="1" x14ac:dyDescent="0.3">
      <c r="A23" s="269"/>
      <c r="B23" s="287"/>
      <c r="C23" s="288">
        <f>C12+C15+C17+C19+C20+C22+C18+C13+C21+C4</f>
        <v>0</v>
      </c>
      <c r="D23" s="12"/>
      <c r="E23" s="12"/>
      <c r="F23" s="357"/>
      <c r="G23" s="288">
        <f>G12+G15+G17+G19+G20+G22+G18+G13+G21+G4</f>
        <v>0</v>
      </c>
      <c r="H23" s="12"/>
      <c r="I23" s="12"/>
      <c r="J23" s="357"/>
      <c r="K23" s="288">
        <f>K12+K15+K17+K19+K20+K22+K18+K13+K21+K4</f>
        <v>0</v>
      </c>
      <c r="L23"/>
      <c r="M23"/>
      <c r="N23" s="357"/>
      <c r="O23" s="288">
        <f>O12+O15+O17+O19+O20+O22+O18+O13+O21+O4</f>
        <v>0</v>
      </c>
      <c r="P23"/>
      <c r="Q23"/>
      <c r="R23" s="357"/>
      <c r="S23" s="288">
        <f>S12+S15+S17+S19+S20+S22+S18+S13+S21+S4</f>
        <v>0</v>
      </c>
      <c r="T23"/>
      <c r="U23"/>
      <c r="V23" s="357"/>
      <c r="W23" s="288">
        <f>W12+W15+W17+W19+W20+W22+W18+W13+W21+W4</f>
        <v>0</v>
      </c>
      <c r="X23"/>
      <c r="Y23"/>
      <c r="Z23" s="357"/>
      <c r="AA23" s="288">
        <f>AA12+AA15+AA17+AA19+AA20+AA22+AA18+AA13+AA21+AA4</f>
        <v>0</v>
      </c>
      <c r="AB23"/>
      <c r="AC23"/>
      <c r="AD23" s="357"/>
      <c r="AE23" s="288">
        <f>AE12+AE15+AE17+AE19+AE20+AE22+AE18+AE13+AE21+AE4</f>
        <v>0</v>
      </c>
      <c r="AF23"/>
      <c r="AG23"/>
      <c r="AH23" s="357"/>
      <c r="AI23" s="288">
        <f>AI12+AI15+AI17+AI19+AI20+AI22+AI18+AI13+AI21+AI4</f>
        <v>0</v>
      </c>
      <c r="AJ23"/>
      <c r="AK23"/>
    </row>
    <row r="24" spans="1:37" hidden="1" x14ac:dyDescent="0.3">
      <c r="A24" s="270"/>
      <c r="B24" s="253"/>
      <c r="F24" s="259"/>
      <c r="J24" s="250"/>
      <c r="N24" s="117"/>
      <c r="R24" s="117"/>
      <c r="V24" s="117"/>
      <c r="Z24" s="117"/>
      <c r="AD24" s="117"/>
      <c r="AH24" s="117"/>
    </row>
    <row r="25" spans="1:37" hidden="1" x14ac:dyDescent="0.3">
      <c r="A25" s="271"/>
      <c r="B25" s="256"/>
      <c r="F25" s="260"/>
      <c r="J25" s="250"/>
      <c r="N25" s="117"/>
      <c r="R25" s="117"/>
      <c r="V25" s="117"/>
      <c r="Z25" s="117"/>
      <c r="AD25" s="117"/>
      <c r="AH25" s="117"/>
    </row>
    <row r="26" spans="1:37" hidden="1" x14ac:dyDescent="0.3">
      <c r="A26" s="272"/>
      <c r="B26" s="254"/>
      <c r="F26" s="260"/>
      <c r="J26" s="250"/>
      <c r="N26" s="117"/>
      <c r="R26" s="117"/>
      <c r="V26" s="117"/>
      <c r="Z26" s="117"/>
      <c r="AD26" s="117"/>
      <c r="AH26" s="117"/>
    </row>
    <row r="27" spans="1:37" hidden="1" x14ac:dyDescent="0.3">
      <c r="A27" s="273"/>
      <c r="B27" s="257"/>
      <c r="F27" s="260"/>
      <c r="J27" s="250"/>
      <c r="N27" s="117"/>
      <c r="R27" s="117"/>
      <c r="V27" s="117"/>
      <c r="Z27" s="117"/>
      <c r="AD27" s="117"/>
      <c r="AH27" s="117"/>
    </row>
    <row r="28" spans="1:37" hidden="1" x14ac:dyDescent="0.3">
      <c r="A28" s="273"/>
      <c r="B28" s="257"/>
      <c r="F28" s="260"/>
      <c r="J28" s="250"/>
      <c r="N28" s="117"/>
      <c r="R28" s="117"/>
      <c r="V28" s="117"/>
      <c r="Z28" s="117"/>
      <c r="AD28" s="117"/>
      <c r="AH28" s="117"/>
    </row>
    <row r="29" spans="1:37" hidden="1" x14ac:dyDescent="0.3">
      <c r="A29" s="273"/>
      <c r="B29" s="257"/>
      <c r="F29" s="260"/>
      <c r="J29" s="250"/>
      <c r="N29" s="117"/>
      <c r="R29" s="117"/>
      <c r="V29" s="117"/>
      <c r="Z29" s="117"/>
      <c r="AD29" s="117"/>
      <c r="AH29" s="117"/>
    </row>
    <row r="30" spans="1:37" hidden="1" x14ac:dyDescent="0.3">
      <c r="A30" s="273"/>
      <c r="B30" s="257"/>
      <c r="F30" s="260"/>
      <c r="J30" s="250"/>
      <c r="N30" s="117"/>
      <c r="R30" s="117"/>
      <c r="V30" s="117"/>
      <c r="Z30" s="117"/>
      <c r="AD30" s="117"/>
      <c r="AH30" s="117"/>
    </row>
    <row r="31" spans="1:37" hidden="1" x14ac:dyDescent="0.3">
      <c r="A31" s="273"/>
      <c r="B31" s="257"/>
      <c r="F31" s="260"/>
      <c r="J31" s="250"/>
      <c r="N31" s="117"/>
      <c r="R31" s="117"/>
      <c r="V31" s="117"/>
      <c r="Z31" s="117"/>
      <c r="AD31" s="117"/>
      <c r="AH31" s="117"/>
    </row>
    <row r="32" spans="1:37" hidden="1" x14ac:dyDescent="0.3">
      <c r="A32" s="273"/>
      <c r="B32" s="257"/>
      <c r="F32" s="260"/>
      <c r="J32" s="250"/>
      <c r="N32" s="117"/>
      <c r="R32" s="117"/>
      <c r="V32" s="117"/>
      <c r="Z32" s="117"/>
      <c r="AD32" s="117"/>
      <c r="AH32" s="117"/>
    </row>
    <row r="33" spans="1:38" hidden="1" x14ac:dyDescent="0.3">
      <c r="A33" s="273"/>
      <c r="B33" s="257"/>
      <c r="F33" s="260"/>
      <c r="J33" s="250"/>
      <c r="N33" s="117"/>
      <c r="R33" s="117"/>
      <c r="V33" s="117"/>
      <c r="Z33" s="117"/>
      <c r="AD33" s="117"/>
      <c r="AH33" s="117"/>
    </row>
    <row r="34" spans="1:38" hidden="1" x14ac:dyDescent="0.3">
      <c r="A34" s="273"/>
      <c r="B34" s="257"/>
      <c r="F34" s="260"/>
      <c r="J34" s="250"/>
      <c r="N34" s="117"/>
      <c r="R34" s="117"/>
      <c r="V34" s="117"/>
      <c r="Z34" s="117"/>
      <c r="AD34" s="117"/>
      <c r="AH34" s="117"/>
    </row>
    <row r="35" spans="1:38" hidden="1" x14ac:dyDescent="0.3">
      <c r="A35" s="273"/>
      <c r="B35" s="257"/>
      <c r="F35" s="260"/>
      <c r="J35" s="250"/>
      <c r="N35" s="117"/>
      <c r="R35" s="117"/>
      <c r="V35" s="117"/>
      <c r="Z35" s="117"/>
      <c r="AD35" s="117"/>
      <c r="AH35" s="117"/>
    </row>
    <row r="36" spans="1:38" hidden="1" x14ac:dyDescent="0.3">
      <c r="A36" s="273"/>
      <c r="B36" s="257"/>
      <c r="F36" s="260"/>
      <c r="J36" s="250"/>
      <c r="N36" s="117"/>
      <c r="R36" s="117"/>
      <c r="V36" s="117"/>
      <c r="Z36" s="117"/>
      <c r="AD36" s="117"/>
      <c r="AH36" s="117"/>
    </row>
    <row r="37" spans="1:38" hidden="1" x14ac:dyDescent="0.3">
      <c r="A37" s="274"/>
      <c r="B37" s="258"/>
      <c r="F37" s="261"/>
      <c r="J37" s="263"/>
      <c r="N37" s="119"/>
      <c r="R37" s="119"/>
      <c r="V37" s="119"/>
      <c r="Z37" s="119"/>
      <c r="AD37" s="119"/>
      <c r="AH37" s="119"/>
    </row>
    <row r="38" spans="1:38" hidden="1" x14ac:dyDescent="0.3">
      <c r="A38" s="245"/>
      <c r="B38" s="245" t="str">
        <f>IF(C8=1,"",CONCATENATE(VLOOKUP(1,C5:E11,2,FALSE)," - ",VLOOKUP(1,C5:E11,3,FALSE)))</f>
        <v/>
      </c>
      <c r="C38" s="95"/>
      <c r="F38" s="252" t="str">
        <f>IF(G8=1,"",CONCATENATE(VLOOKUP(1,G5:I11,2,FALSE)," - ",VLOOKUP(1,G5:I11,3,FALSE)))</f>
        <v/>
      </c>
      <c r="J38" s="252" t="str">
        <f>IF(K8=1,"",CONCATENATE(VLOOKUP(1,K5:M11,2,FALSE)," - ",VLOOKUP(1,K5:M11,3,FALSE)))</f>
        <v/>
      </c>
      <c r="N38" s="252" t="str">
        <f>IF(O8=1,"",CONCATENATE(VLOOKUP(1,O5:Q11,2,FALSE)," - ",VLOOKUP(1,O5:Q11,3,FALSE)))</f>
        <v/>
      </c>
      <c r="R38" s="252" t="str">
        <f>IF(S8=1,"",CONCATENATE(VLOOKUP(1,S5:U11,2,FALSE)," - ",VLOOKUP(1,S5:U11,3,FALSE)))</f>
        <v/>
      </c>
      <c r="V38" s="252" t="str">
        <f>IF(W8=1,"",CONCATENATE(VLOOKUP(1,W5:Y11,2,FALSE)," - ",VLOOKUP(1,W5:Y11,3,FALSE)))</f>
        <v/>
      </c>
      <c r="Z38" s="252" t="str">
        <f>IF(AA8=1,"",CONCATENATE(VLOOKUP(1,AA5:AC11,2,FALSE)," - ",VLOOKUP(1,AA5:AC11,3,FALSE)))</f>
        <v/>
      </c>
      <c r="AD38" s="252" t="str">
        <f>IF(AE8=1,"",CONCATENATE(VLOOKUP(1,AE5:AG11,2,FALSE)," - ",VLOOKUP(1,AE5:AG11,3,FALSE)))</f>
        <v/>
      </c>
      <c r="AH38" s="252" t="str">
        <f>IF(AI8=1,"",CONCATENATE(VLOOKUP(1,AI5:AK11,2,FALSE)," - ",VLOOKUP(1,AI5:AK11,3,FALSE)))</f>
        <v/>
      </c>
    </row>
    <row r="39" spans="1:38" hidden="1" x14ac:dyDescent="0.3">
      <c r="B39" s="12" t="s">
        <v>190</v>
      </c>
      <c r="C39" s="244" t="str">
        <f>IF(D5="Outpatient Rx",E8,IF(D9="Sterile Prep",C23,IF(D11="Sterile Prep",C23,"")))</f>
        <v/>
      </c>
      <c r="F39" s="67" t="s">
        <v>190</v>
      </c>
      <c r="G39" s="244" t="str">
        <f>IF(H5="Outpatient Rx",I8,IF(H9="Sterile Prep",G23,IF(H11="Sterile Prep",G23,"")))</f>
        <v/>
      </c>
      <c r="J39" s="67" t="s">
        <v>190</v>
      </c>
      <c r="K39" s="244" t="str">
        <f>IF(L5="Outpatient Rx",M8,IF(L9="Sterile Prep",K23,IF(L11="Sterile Prep",K23,"")))</f>
        <v/>
      </c>
      <c r="N39" s="67" t="s">
        <v>190</v>
      </c>
      <c r="O39" s="244" t="str">
        <f>IF(P5="Outpatient Rx",Q8,IF(P9="Sterile Prep",O23,IF(P11="Sterile Prep",O23,"")))</f>
        <v/>
      </c>
      <c r="R39" s="67" t="s">
        <v>190</v>
      </c>
      <c r="S39" s="244" t="str">
        <f>IF(T5="Outpatient Rx",U8,IF(T9="Sterile Prep",S23,IF(T11="Sterile Prep",S23,"")))</f>
        <v/>
      </c>
      <c r="V39" s="67" t="s">
        <v>190</v>
      </c>
      <c r="W39" s="244" t="str">
        <f>IF(X5="Outpatient Rx",Y8,IF(X9="Sterile Prep",W23,IF(X11="Sterile Prep",W23,"")))</f>
        <v/>
      </c>
      <c r="Z39" s="67" t="s">
        <v>190</v>
      </c>
      <c r="AA39" s="244" t="str">
        <f>IF(AB5="Outpatient Rx",AC8,IF(AB9="Sterile Prep",AA23,IF(AB11="Sterile Prep",AA23,"")))</f>
        <v/>
      </c>
      <c r="AD39" s="67" t="s">
        <v>190</v>
      </c>
      <c r="AE39" s="244" t="str">
        <f>IF(AF5="Outpatient Rx",AG8,IF(AF9="Sterile Prep",AE23,IF(AF11="Sterile Prep",AE23,"")))</f>
        <v/>
      </c>
      <c r="AH39" s="67" t="s">
        <v>190</v>
      </c>
      <c r="AI39" s="244" t="str">
        <f>IF(AJ5="Outpatient Rx",AK8,IF(AJ9="Sterile Prep",AI23,IF(AJ11="Sterile Prep",AI23,"")))</f>
        <v/>
      </c>
    </row>
    <row r="40" spans="1:38" ht="62.4" customHeight="1" x14ac:dyDescent="0.3">
      <c r="A40" s="376" t="s">
        <v>221</v>
      </c>
      <c r="B40" s="316"/>
      <c r="C40" s="317"/>
      <c r="D40" s="317"/>
      <c r="E40" s="317"/>
      <c r="F40" s="312"/>
      <c r="G40" s="317"/>
      <c r="H40" s="317"/>
      <c r="I40" s="317"/>
      <c r="J40" s="312"/>
      <c r="K40" s="317"/>
      <c r="L40" s="317"/>
      <c r="M40" s="317"/>
      <c r="N40" s="312"/>
      <c r="O40" s="317"/>
      <c r="P40" s="317"/>
      <c r="Q40" s="317"/>
      <c r="R40" s="312"/>
      <c r="S40" s="317"/>
      <c r="T40" s="317"/>
      <c r="U40" s="317"/>
      <c r="V40" s="312"/>
      <c r="W40" s="317"/>
      <c r="X40" s="317"/>
      <c r="Y40" s="317"/>
      <c r="Z40" s="312"/>
      <c r="AA40" s="317"/>
      <c r="AB40" s="317"/>
      <c r="AC40" s="317"/>
      <c r="AD40" s="312"/>
      <c r="AE40" s="317"/>
      <c r="AF40" s="317"/>
      <c r="AG40" s="317"/>
      <c r="AH40" s="318"/>
      <c r="AI40" s="95"/>
      <c r="AJ40" s="95"/>
      <c r="AK40" s="95"/>
      <c r="AL40" s="95"/>
    </row>
    <row r="41" spans="1:38" ht="27.6" x14ac:dyDescent="0.3">
      <c r="A41" s="375"/>
      <c r="B41" s="357" t="s">
        <v>329</v>
      </c>
      <c r="C41" s="288"/>
      <c r="D41" s="12"/>
      <c r="E41" s="12"/>
      <c r="F41" s="357" t="s">
        <v>329</v>
      </c>
      <c r="G41" s="288"/>
      <c r="H41" s="12"/>
      <c r="I41" s="12"/>
      <c r="J41" s="357" t="s">
        <v>329</v>
      </c>
      <c r="K41" s="288"/>
      <c r="L41"/>
      <c r="M41"/>
      <c r="N41" s="357" t="s">
        <v>329</v>
      </c>
      <c r="O41" s="288"/>
      <c r="P41"/>
      <c r="Q41"/>
      <c r="R41" s="357" t="s">
        <v>329</v>
      </c>
      <c r="S41" s="288"/>
      <c r="T41"/>
      <c r="U41"/>
      <c r="V41" s="357" t="s">
        <v>329</v>
      </c>
      <c r="W41" s="288"/>
      <c r="X41"/>
      <c r="Y41"/>
      <c r="Z41" s="357" t="s">
        <v>329</v>
      </c>
      <c r="AA41" s="288"/>
      <c r="AB41"/>
      <c r="AC41"/>
      <c r="AD41" s="357" t="s">
        <v>329</v>
      </c>
      <c r="AE41" s="288"/>
      <c r="AF41"/>
      <c r="AG41"/>
      <c r="AH41" s="357" t="s">
        <v>329</v>
      </c>
    </row>
    <row r="42" spans="1:38" x14ac:dyDescent="0.3">
      <c r="A42" s="361"/>
      <c r="B42" s="253"/>
      <c r="C42" s="308"/>
      <c r="F42" s="259"/>
      <c r="G42" s="308"/>
      <c r="H42" s="308"/>
      <c r="I42" s="308"/>
      <c r="J42" s="250"/>
      <c r="K42" s="308"/>
      <c r="L42" s="308"/>
      <c r="M42" s="308"/>
      <c r="N42" s="117"/>
      <c r="O42" s="308"/>
      <c r="P42" s="308"/>
      <c r="Q42" s="308"/>
      <c r="R42" s="117"/>
      <c r="S42" s="308"/>
      <c r="T42" s="308"/>
      <c r="U42" s="308"/>
      <c r="V42" s="117"/>
      <c r="W42" s="308"/>
      <c r="X42" s="308"/>
      <c r="Y42" s="308"/>
      <c r="Z42" s="117"/>
      <c r="AA42" s="308"/>
      <c r="AB42" s="308"/>
      <c r="AC42" s="308"/>
      <c r="AD42" s="117"/>
      <c r="AE42" s="308"/>
      <c r="AF42" s="308"/>
      <c r="AG42" s="308"/>
      <c r="AH42" s="117"/>
    </row>
    <row r="43" spans="1:38" x14ac:dyDescent="0.3">
      <c r="A43" s="362"/>
      <c r="B43" s="256"/>
      <c r="C43" s="308"/>
      <c r="F43" s="260"/>
      <c r="G43" s="308"/>
      <c r="H43" s="308"/>
      <c r="I43" s="308"/>
      <c r="J43" s="250"/>
      <c r="K43" s="308"/>
      <c r="L43" s="308"/>
      <c r="M43" s="308"/>
      <c r="N43" s="117"/>
      <c r="O43" s="308"/>
      <c r="P43" s="308"/>
      <c r="Q43" s="308"/>
      <c r="R43" s="117"/>
      <c r="S43" s="308"/>
      <c r="T43" s="308"/>
      <c r="U43" s="308"/>
      <c r="V43" s="117"/>
      <c r="W43" s="308"/>
      <c r="X43" s="308"/>
      <c r="Y43" s="308"/>
      <c r="Z43" s="117"/>
      <c r="AA43" s="308"/>
      <c r="AB43" s="308"/>
      <c r="AC43" s="308"/>
      <c r="AD43" s="117"/>
      <c r="AE43" s="308"/>
      <c r="AF43" s="308"/>
      <c r="AG43" s="308"/>
      <c r="AH43" s="117"/>
    </row>
    <row r="44" spans="1:38" x14ac:dyDescent="0.3">
      <c r="A44" s="363"/>
      <c r="B44" s="254"/>
      <c r="C44" s="308"/>
      <c r="F44" s="260"/>
      <c r="G44" s="308"/>
      <c r="H44" s="308"/>
      <c r="I44" s="308"/>
      <c r="J44" s="250"/>
      <c r="K44" s="308"/>
      <c r="L44" s="308"/>
      <c r="M44" s="308"/>
      <c r="N44" s="117"/>
      <c r="O44" s="308"/>
      <c r="P44" s="308"/>
      <c r="Q44" s="308"/>
      <c r="R44" s="117"/>
      <c r="S44" s="308"/>
      <c r="T44" s="308"/>
      <c r="U44" s="308"/>
      <c r="V44" s="117"/>
      <c r="W44" s="308"/>
      <c r="X44" s="308"/>
      <c r="Y44" s="308"/>
      <c r="Z44" s="117"/>
      <c r="AA44" s="308"/>
      <c r="AB44" s="308"/>
      <c r="AC44" s="308"/>
      <c r="AD44" s="117"/>
      <c r="AE44" s="308"/>
      <c r="AF44" s="308"/>
      <c r="AG44" s="308"/>
      <c r="AH44" s="117"/>
    </row>
    <row r="45" spans="1:38" x14ac:dyDescent="0.3">
      <c r="A45" s="364"/>
      <c r="B45" s="257"/>
      <c r="C45" s="308"/>
      <c r="F45" s="260"/>
      <c r="G45" s="308"/>
      <c r="H45" s="308"/>
      <c r="I45" s="308"/>
      <c r="J45" s="250"/>
      <c r="K45" s="308"/>
      <c r="L45" s="308"/>
      <c r="M45" s="308"/>
      <c r="N45" s="117"/>
      <c r="O45" s="308"/>
      <c r="P45" s="308"/>
      <c r="Q45" s="308"/>
      <c r="R45" s="117"/>
      <c r="S45" s="308"/>
      <c r="T45" s="308"/>
      <c r="U45" s="308"/>
      <c r="V45" s="117"/>
      <c r="W45" s="308"/>
      <c r="X45" s="308"/>
      <c r="Y45" s="308"/>
      <c r="Z45" s="117"/>
      <c r="AA45" s="308"/>
      <c r="AB45" s="308"/>
      <c r="AC45" s="308"/>
      <c r="AD45" s="117"/>
      <c r="AE45" s="308"/>
      <c r="AF45" s="308"/>
      <c r="AG45" s="308"/>
      <c r="AH45" s="117"/>
    </row>
    <row r="46" spans="1:38" x14ac:dyDescent="0.3">
      <c r="A46" s="364"/>
      <c r="B46" s="257"/>
      <c r="C46" s="308"/>
      <c r="F46" s="260"/>
      <c r="G46" s="308"/>
      <c r="H46" s="308"/>
      <c r="I46" s="308"/>
      <c r="J46" s="250"/>
      <c r="K46" s="308"/>
      <c r="L46" s="308"/>
      <c r="M46" s="308"/>
      <c r="N46" s="117"/>
      <c r="O46" s="308"/>
      <c r="P46" s="308"/>
      <c r="Q46" s="308"/>
      <c r="R46" s="117"/>
      <c r="S46" s="308"/>
      <c r="T46" s="308"/>
      <c r="U46" s="308"/>
      <c r="V46" s="117"/>
      <c r="W46" s="308"/>
      <c r="X46" s="308"/>
      <c r="Y46" s="308"/>
      <c r="Z46" s="117"/>
      <c r="AA46" s="308"/>
      <c r="AB46" s="308"/>
      <c r="AC46" s="308"/>
      <c r="AD46" s="117"/>
      <c r="AE46" s="308"/>
      <c r="AF46" s="308"/>
      <c r="AG46" s="308"/>
      <c r="AH46" s="117"/>
    </row>
    <row r="47" spans="1:38" x14ac:dyDescent="0.3">
      <c r="A47" s="364"/>
      <c r="B47" s="257"/>
      <c r="C47" s="308"/>
      <c r="F47" s="260"/>
      <c r="G47" s="308"/>
      <c r="H47" s="308"/>
      <c r="I47" s="308"/>
      <c r="J47" s="250"/>
      <c r="K47" s="308"/>
      <c r="L47" s="308"/>
      <c r="M47" s="308"/>
      <c r="N47" s="117"/>
      <c r="O47" s="308"/>
      <c r="P47" s="308"/>
      <c r="Q47" s="308"/>
      <c r="R47" s="117"/>
      <c r="S47" s="308"/>
      <c r="T47" s="308"/>
      <c r="U47" s="308"/>
      <c r="V47" s="117"/>
      <c r="W47" s="308"/>
      <c r="X47" s="308"/>
      <c r="Y47" s="308"/>
      <c r="Z47" s="117"/>
      <c r="AA47" s="308"/>
      <c r="AB47" s="308"/>
      <c r="AC47" s="308"/>
      <c r="AD47" s="117"/>
      <c r="AE47" s="308"/>
      <c r="AF47" s="308"/>
      <c r="AG47" s="308"/>
      <c r="AH47" s="117"/>
    </row>
    <row r="48" spans="1:38" x14ac:dyDescent="0.3">
      <c r="A48" s="364"/>
      <c r="B48" s="257"/>
      <c r="C48" s="308"/>
      <c r="F48" s="260"/>
      <c r="G48" s="308"/>
      <c r="H48" s="308"/>
      <c r="I48" s="308"/>
      <c r="J48" s="250"/>
      <c r="K48" s="308"/>
      <c r="L48" s="308"/>
      <c r="M48" s="308"/>
      <c r="N48" s="117"/>
      <c r="O48" s="308"/>
      <c r="P48" s="308"/>
      <c r="Q48" s="308"/>
      <c r="R48" s="117"/>
      <c r="S48" s="308"/>
      <c r="T48" s="308"/>
      <c r="U48" s="308"/>
      <c r="V48" s="117"/>
      <c r="W48" s="308"/>
      <c r="X48" s="308"/>
      <c r="Y48" s="308"/>
      <c r="Z48" s="117"/>
      <c r="AA48" s="308"/>
      <c r="AB48" s="308"/>
      <c r="AC48" s="308"/>
      <c r="AD48" s="117"/>
      <c r="AE48" s="308"/>
      <c r="AF48" s="308"/>
      <c r="AG48" s="308"/>
      <c r="AH48" s="117"/>
    </row>
    <row r="49" spans="1:37" x14ac:dyDescent="0.3">
      <c r="A49" s="364"/>
      <c r="B49" s="257"/>
      <c r="C49" s="308"/>
      <c r="F49" s="260"/>
      <c r="G49" s="308"/>
      <c r="H49" s="308"/>
      <c r="I49" s="308"/>
      <c r="J49" s="250"/>
      <c r="K49" s="308"/>
      <c r="L49" s="308"/>
      <c r="M49" s="308"/>
      <c r="N49" s="117"/>
      <c r="O49" s="308"/>
      <c r="P49" s="308"/>
      <c r="Q49" s="308"/>
      <c r="R49" s="117"/>
      <c r="S49" s="308"/>
      <c r="T49" s="308"/>
      <c r="U49" s="308"/>
      <c r="V49" s="117"/>
      <c r="W49" s="308"/>
      <c r="X49" s="308"/>
      <c r="Y49" s="308"/>
      <c r="Z49" s="117"/>
      <c r="AA49" s="308"/>
      <c r="AB49" s="308"/>
      <c r="AC49" s="308"/>
      <c r="AD49" s="117"/>
      <c r="AE49" s="308"/>
      <c r="AF49" s="308"/>
      <c r="AG49" s="308"/>
      <c r="AH49" s="117"/>
    </row>
    <row r="50" spans="1:37" x14ac:dyDescent="0.3">
      <c r="A50" s="364"/>
      <c r="B50" s="257"/>
      <c r="C50" s="308"/>
      <c r="F50" s="260"/>
      <c r="G50" s="308"/>
      <c r="H50" s="308"/>
      <c r="I50" s="308"/>
      <c r="J50" s="250"/>
      <c r="K50" s="308"/>
      <c r="L50" s="308"/>
      <c r="M50" s="308"/>
      <c r="N50" s="117"/>
      <c r="O50" s="308"/>
      <c r="P50" s="308"/>
      <c r="Q50" s="308"/>
      <c r="R50" s="117"/>
      <c r="S50" s="308"/>
      <c r="T50" s="308"/>
      <c r="U50" s="308"/>
      <c r="V50" s="117"/>
      <c r="W50" s="308"/>
      <c r="X50" s="308"/>
      <c r="Y50" s="308"/>
      <c r="Z50" s="117"/>
      <c r="AA50" s="308"/>
      <c r="AB50" s="308"/>
      <c r="AC50" s="308"/>
      <c r="AD50" s="117"/>
      <c r="AE50" s="308"/>
      <c r="AF50" s="308"/>
      <c r="AG50" s="308"/>
      <c r="AH50" s="117"/>
    </row>
    <row r="51" spans="1:37" x14ac:dyDescent="0.3">
      <c r="A51" s="364"/>
      <c r="B51" s="257"/>
      <c r="C51" s="308"/>
      <c r="F51" s="260"/>
      <c r="G51" s="308"/>
      <c r="H51" s="308"/>
      <c r="I51" s="308"/>
      <c r="J51" s="250"/>
      <c r="K51" s="308"/>
      <c r="L51" s="308"/>
      <c r="M51" s="308"/>
      <c r="N51" s="117"/>
      <c r="O51" s="308"/>
      <c r="P51" s="308"/>
      <c r="Q51" s="308"/>
      <c r="R51" s="117"/>
      <c r="S51" s="308"/>
      <c r="T51" s="308"/>
      <c r="U51" s="308"/>
      <c r="V51" s="117"/>
      <c r="W51" s="308"/>
      <c r="X51" s="308"/>
      <c r="Y51" s="308"/>
      <c r="Z51" s="117"/>
      <c r="AA51" s="308"/>
      <c r="AB51" s="308"/>
      <c r="AC51" s="308"/>
      <c r="AD51" s="117"/>
      <c r="AE51" s="308"/>
      <c r="AF51" s="308"/>
      <c r="AG51" s="308"/>
      <c r="AH51" s="117"/>
    </row>
    <row r="52" spans="1:37" x14ac:dyDescent="0.3">
      <c r="A52" s="364"/>
      <c r="B52" s="257"/>
      <c r="C52" s="308"/>
      <c r="F52" s="260"/>
      <c r="G52" s="308"/>
      <c r="H52" s="308"/>
      <c r="I52" s="308"/>
      <c r="J52" s="250"/>
      <c r="K52" s="308"/>
      <c r="L52" s="308"/>
      <c r="M52" s="308"/>
      <c r="N52" s="117"/>
      <c r="O52" s="308"/>
      <c r="P52" s="308"/>
      <c r="Q52" s="308"/>
      <c r="R52" s="117"/>
      <c r="S52" s="308"/>
      <c r="T52" s="308"/>
      <c r="U52" s="308"/>
      <c r="V52" s="117"/>
      <c r="W52" s="308"/>
      <c r="X52" s="308"/>
      <c r="Y52" s="308"/>
      <c r="Z52" s="117"/>
      <c r="AA52" s="308"/>
      <c r="AB52" s="308"/>
      <c r="AC52" s="308"/>
      <c r="AD52" s="117"/>
      <c r="AE52" s="308"/>
      <c r="AF52" s="308"/>
      <c r="AG52" s="308"/>
      <c r="AH52" s="117"/>
    </row>
    <row r="53" spans="1:37" x14ac:dyDescent="0.3">
      <c r="A53" s="364"/>
      <c r="B53" s="257"/>
      <c r="C53" s="308"/>
      <c r="F53" s="260"/>
      <c r="G53" s="308"/>
      <c r="H53" s="308"/>
      <c r="I53" s="308"/>
      <c r="J53" s="250"/>
      <c r="K53" s="308"/>
      <c r="L53" s="308"/>
      <c r="M53" s="308"/>
      <c r="N53" s="117"/>
      <c r="O53" s="308"/>
      <c r="P53" s="308"/>
      <c r="Q53" s="308"/>
      <c r="R53" s="117"/>
      <c r="S53" s="308"/>
      <c r="T53" s="308"/>
      <c r="U53" s="308"/>
      <c r="V53" s="117"/>
      <c r="W53" s="308"/>
      <c r="X53" s="308"/>
      <c r="Y53" s="308"/>
      <c r="Z53" s="117"/>
      <c r="AA53" s="308"/>
      <c r="AB53" s="308"/>
      <c r="AC53" s="308"/>
      <c r="AD53" s="117"/>
      <c r="AE53" s="308"/>
      <c r="AF53" s="308"/>
      <c r="AG53" s="308"/>
      <c r="AH53" s="117"/>
    </row>
    <row r="54" spans="1:37" x14ac:dyDescent="0.3">
      <c r="A54" s="364"/>
      <c r="B54" s="257"/>
      <c r="C54" s="308"/>
      <c r="F54" s="260"/>
      <c r="G54" s="308"/>
      <c r="H54" s="308"/>
      <c r="I54" s="308"/>
      <c r="J54" s="250"/>
      <c r="K54" s="308"/>
      <c r="L54" s="308"/>
      <c r="M54" s="308"/>
      <c r="N54" s="117"/>
      <c r="O54" s="308"/>
      <c r="P54" s="308"/>
      <c r="Q54" s="308"/>
      <c r="R54" s="117"/>
      <c r="S54" s="308"/>
      <c r="T54" s="308"/>
      <c r="U54" s="308"/>
      <c r="V54" s="117"/>
      <c r="W54" s="308"/>
      <c r="X54" s="308"/>
      <c r="Y54" s="308"/>
      <c r="Z54" s="117"/>
      <c r="AA54" s="308"/>
      <c r="AB54" s="308"/>
      <c r="AC54" s="308"/>
      <c r="AD54" s="117"/>
      <c r="AE54" s="308"/>
      <c r="AF54" s="308"/>
      <c r="AG54" s="308"/>
      <c r="AH54" s="117"/>
    </row>
    <row r="55" spans="1:37" x14ac:dyDescent="0.3">
      <c r="A55" s="365"/>
      <c r="B55" s="258"/>
      <c r="C55" s="308"/>
      <c r="E55" t="str">
        <f>IF(B1="","",IF(E5="Simple",0,IF(OR(E5="Moderate",E11="Simple",E9="Simple"),1,IF(OR(E5="Complex",E11="Moderate",E9="Moderate"),2,IF(OR(E5="Very Complex",E11="Complex",E9="Complex"),3,IF(OR(E11="Very Complex",E9="Very Complex"),4,5))))))</f>
        <v/>
      </c>
      <c r="F55" s="261"/>
      <c r="G55" s="308"/>
      <c r="H55" s="308"/>
      <c r="I55" t="str">
        <f>IF(F1="","",IF(I5="Simple",0,IF(OR(I5="Moderate",I11="Simple",I9="Simple"),1,IF(OR(I5="Complex",I11="Moderate",I9="Moderate"),2,IF(OR(I5="Very Complex",I11="Complex",I9="Complex"),3,IF(OR(I11="Very Complex",I9="Very Complex"),4,5))))))</f>
        <v/>
      </c>
      <c r="J55" s="263"/>
      <c r="K55" s="308"/>
      <c r="L55" s="308"/>
      <c r="M55" t="str">
        <f>IF(J1="","",IF(M5="Simple",0,IF(OR(M5="Moderate",M11="Simple",M9="Simple"),1,IF(OR(M5="Complex",M11="Moderate",M9="Moderate"),2,IF(OR(M5="Very Complex",M11="Complex",M9="Complex"),3,IF(OR(M11="Very Complex",M9="Very Complex"),4,5))))))</f>
        <v/>
      </c>
      <c r="N55" s="119"/>
      <c r="O55" s="308"/>
      <c r="P55" s="308"/>
      <c r="Q55" t="str">
        <f>IF(N1="","",IF(Q5="Simple",0,IF(OR(Q5="Moderate",Q11="Simple",Q9="Simple"),1,IF(OR(Q5="Complex",Q11="Moderate",Q9="Moderate"),2,IF(OR(Q5="Very Complex",Q11="Complex",Q9="Complex"),3,IF(OR(Q11="Very Complex",Q9="Very Complex"),4,5))))))</f>
        <v/>
      </c>
      <c r="R55" s="119"/>
      <c r="S55" s="308"/>
      <c r="T55" s="308"/>
      <c r="U55" t="str">
        <f>IF(R1="","",IF(U5="Simple",0,IF(OR(U5="Moderate",U11="Simple",U9="Simple"),1,IF(OR(U5="Complex",U11="Moderate",U9="Moderate"),2,IF(OR(U5="Very Complex",U11="Complex",U9="Complex"),3,IF(OR(U11="Very Complex",U9="Very Complex"),4,5))))))</f>
        <v/>
      </c>
      <c r="V55" s="119"/>
      <c r="W55" s="308"/>
      <c r="X55" s="308"/>
      <c r="Y55" t="str">
        <f>IF(V1="","",IF(Y5="Simple",0,IF(OR(Y5="Moderate",Y11="Simple",Y9="Simple"),1,IF(OR(Y5="Complex",Y11="Moderate",Y9="Moderate"),2,IF(OR(Y5="Very Complex",Y11="Complex",Y9="Complex"),3,IF(OR(Y11="Very Complex",Y9="Very Complex"),4,5))))))</f>
        <v/>
      </c>
      <c r="Z55" s="119"/>
      <c r="AA55" s="308"/>
      <c r="AB55" s="308"/>
      <c r="AC55" t="str">
        <f>IF(Z1="","",IF(AC5="Simple",0,IF(OR(AC5="Moderate",AC11="Simple",AC9="Simple"),1,IF(OR(AC5="Complex",AC11="Moderate",AC9="Moderate"),2,IF(OR(AC5="Very Complex",AC11="Complex",AC9="Complex"),3,IF(OR(AC11="Very Complex",AC9="Very Complex"),4,5))))))</f>
        <v/>
      </c>
      <c r="AD55" s="119"/>
      <c r="AE55" s="308"/>
      <c r="AF55" s="308"/>
      <c r="AG55" t="str">
        <f>IF(AD1="","",IF(AG5="Simple",0,IF(OR(AG5="Moderate",AG11="Simple",AG9="Simple"),1,IF(OR(AG5="Complex",AG11="Moderate",AG9="Moderate"),2,IF(OR(AG5="Very Complex",AG11="Complex",AG9="Complex"),3,IF(OR(AG11="Very Complex",AG9="Very Complex"),4,5))))))</f>
        <v/>
      </c>
      <c r="AH55" s="119"/>
      <c r="AK55" t="str">
        <f>IF(AH1="","",IF(AK5="Simple",0,IF(OR(AK5="Moderate",AK11="Simple"),1,IF(OR(AK5="Complex",AK11="Moderate"),2,IF(OR(AK5="Very Complex",AK11="Complex"),3,IF(AK11="Very Complex",4,5))))))</f>
        <v/>
      </c>
    </row>
  </sheetData>
  <sheetProtection algorithmName="SHA-512" hashValue="xQK9T5YzRFdJSJgVugYt8qfekbkfzvfkFCvdDvojyAac1WJWh7jAeaBaEgnLVlXuHCJ/CtRTJTQnr9q2CHEr0w==" saltValue="DhPMe7yi0M41N/eoRzxlSA==" spinCount="100000" sheet="1" selectLockedCells="1"/>
  <dataValidations count="4">
    <dataValidation type="whole" allowBlank="1" showInputMessage="1" showErrorMessage="1" sqref="B15 B17 F15 F17 J15 J17 N15 N17 R15 R17 V15 V17 Z15 Z17 AD15 AD17 AH15 AH17" xr:uid="{4BE58432-9683-4AE7-8082-217E22ABB905}">
      <formula1>1</formula1>
      <formula2>20</formula2>
    </dataValidation>
    <dataValidation type="whole" allowBlank="1" showInputMessage="1" showErrorMessage="1" sqref="B8 F8 J8 N8 R8 V8 Z8 AD8 AH8" xr:uid="{F4341046-166D-4A13-991B-60A3DA3291EE}">
      <formula1>1</formula1>
      <formula2>9999</formula2>
    </dataValidation>
    <dataValidation type="whole" allowBlank="1" showInputMessage="1" showErrorMessage="1" sqref="B2:B3 F2:F3 J2:J3 N2:N3 R2:R3 V2:V3 Z2:Z3 AD2:AD3 AH2:AH3" xr:uid="{5519428B-FDAB-43F0-8A40-E7AD2974FB52}">
      <formula1>1</formula1>
      <formula2>999</formula2>
    </dataValidation>
    <dataValidation type="list" allowBlank="1" showInputMessage="1" showErrorMessage="1" sqref="F9:F14 F16 B16 F18:F21 J9:J14 J16 J18:J21 N9:N14 N16 N18:N21 R9:R14 R16 R18:R21 V9:V14 V16 V18:V21 Z9:Z14 Z16 Z18:Z21 AD9:AD14 AD16 AD18:AD21 AH9:AH14 AH16 AH18:AH21 B9:B14 B4:B7 F4:F7 AH4:AH7 AD4:AD7 Z4:Z7 V4:V7 R4:R7 N4:N7 J4:J7 B18:B21" xr:uid="{CA751CFB-19BD-4BA6-9A58-EA38A264D15B}">
      <formula1>$EF$5:$EF$6</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8" tint="-0.249977111117893"/>
  </sheetPr>
  <dimension ref="A1:AI83"/>
  <sheetViews>
    <sheetView zoomScaleNormal="100" workbookViewId="0">
      <pane ySplit="1" topLeftCell="A2" activePane="bottomLeft" state="frozen"/>
      <selection activeCell="U13" sqref="U13"/>
      <selection pane="bottomLeft" activeCell="D4" sqref="D4:I15"/>
    </sheetView>
  </sheetViews>
  <sheetFormatPr defaultColWidth="8.77734375" defaultRowHeight="14.4" x14ac:dyDescent="0.3"/>
  <cols>
    <col min="1" max="1" width="26" customWidth="1"/>
    <col min="2" max="2" width="8.6640625" customWidth="1"/>
    <col min="3" max="3" width="8.77734375" customWidth="1"/>
    <col min="4" max="4" width="21.33203125" customWidth="1"/>
    <col min="5" max="5" width="9.88671875" customWidth="1"/>
    <col min="6" max="6" width="11.44140625" customWidth="1"/>
    <col min="7" max="7" width="9" customWidth="1"/>
    <col min="8" max="8" width="7.6640625" customWidth="1"/>
    <col min="9" max="9" width="8" customWidth="1"/>
    <col min="10" max="10" width="2.44140625" customWidth="1"/>
    <col min="11" max="11" width="10.6640625" style="8" customWidth="1"/>
    <col min="12" max="12" width="25.109375" style="1" customWidth="1"/>
    <col min="13" max="13" width="71.109375" style="1" customWidth="1"/>
    <col min="14" max="15" width="10.44140625" hidden="1" customWidth="1"/>
    <col min="16" max="16" width="11.44140625" hidden="1" customWidth="1"/>
    <col min="17" max="17" width="12" style="40" hidden="1" customWidth="1"/>
    <col min="18" max="21" width="11.44140625" style="40" hidden="1" customWidth="1"/>
    <col min="22" max="22" width="11.44140625" style="11" hidden="1" customWidth="1"/>
    <col min="23" max="23" width="8.77734375" style="40" hidden="1" customWidth="1"/>
    <col min="24" max="24" width="17.44140625" hidden="1" customWidth="1"/>
    <col min="25" max="25" width="8.77734375" hidden="1" customWidth="1"/>
    <col min="26" max="26" width="20" hidden="1" customWidth="1"/>
    <col min="27" max="27" width="17.77734375" hidden="1" customWidth="1"/>
    <col min="28" max="28" width="15.33203125" hidden="1" customWidth="1"/>
    <col min="29" max="29" width="47.5546875" hidden="1" customWidth="1"/>
    <col min="30" max="30" width="8.77734375" hidden="1" customWidth="1"/>
    <col min="31" max="31" width="11.21875" hidden="1" customWidth="1"/>
    <col min="32" max="32" width="8.77734375" hidden="1" customWidth="1"/>
    <col min="33" max="42" width="8.77734375" customWidth="1"/>
  </cols>
  <sheetData>
    <row r="1" spans="1:35" ht="25.2" customHeight="1" thickBot="1" x14ac:dyDescent="0.35">
      <c r="A1" s="657" t="s">
        <v>159</v>
      </c>
      <c r="B1" s="657"/>
      <c r="C1" s="657"/>
      <c r="D1" s="657"/>
      <c r="E1" s="657"/>
      <c r="F1" s="657"/>
      <c r="G1" s="657"/>
      <c r="H1" s="657"/>
      <c r="I1" s="658"/>
      <c r="J1" s="174"/>
      <c r="K1" s="156" t="s">
        <v>121</v>
      </c>
      <c r="L1" s="157" t="s">
        <v>22</v>
      </c>
      <c r="M1" s="158" t="s">
        <v>112</v>
      </c>
      <c r="N1" s="80" t="s">
        <v>171</v>
      </c>
      <c r="O1" s="81" t="s">
        <v>172</v>
      </c>
      <c r="P1" s="81" t="s">
        <v>173</v>
      </c>
      <c r="Q1" s="77" t="s">
        <v>136</v>
      </c>
      <c r="R1" s="78" t="s">
        <v>23</v>
      </c>
      <c r="S1" s="82" t="s">
        <v>137</v>
      </c>
      <c r="T1" s="178" t="s">
        <v>167</v>
      </c>
      <c r="U1" s="78" t="s">
        <v>130</v>
      </c>
      <c r="V1" s="82" t="s">
        <v>138</v>
      </c>
      <c r="W1" s="69" t="s">
        <v>63</v>
      </c>
      <c r="X1" s="11" t="str">
        <f>IF('Estimate Details'!C1="","",'Estimate Details'!C1)</f>
        <v/>
      </c>
      <c r="Z1" s="79" t="s">
        <v>139</v>
      </c>
      <c r="AA1" s="79" t="s">
        <v>140</v>
      </c>
      <c r="AB1" s="79" t="s">
        <v>23</v>
      </c>
    </row>
    <row r="2" spans="1:35" ht="27.45" customHeight="1" x14ac:dyDescent="0.35">
      <c r="A2" s="674" t="s">
        <v>189</v>
      </c>
      <c r="B2" s="675"/>
      <c r="C2" s="675"/>
      <c r="D2" s="676"/>
      <c r="E2" s="676"/>
      <c r="F2" s="676"/>
      <c r="G2" s="676"/>
      <c r="H2" s="676"/>
      <c r="I2" s="10"/>
      <c r="J2" s="174"/>
      <c r="K2" s="278" t="s">
        <v>77</v>
      </c>
      <c r="L2" s="279" t="s">
        <v>257</v>
      </c>
      <c r="M2" s="280" t="s">
        <v>326</v>
      </c>
      <c r="N2" s="68">
        <v>399</v>
      </c>
      <c r="O2" s="66">
        <f>ROUND(N2*1.655,0)</f>
        <v>660</v>
      </c>
      <c r="P2" s="66">
        <f>ROUND(N2*1.82,0)</f>
        <v>726</v>
      </c>
      <c r="Q2" s="70">
        <f>COUNTIF($A$4:$A$15,L2)</f>
        <v>0</v>
      </c>
      <c r="R2" s="71">
        <f>SUMIF($A$4:$A$15,L2,$C$4:$C$15)</f>
        <v>0</v>
      </c>
      <c r="S2" s="83">
        <f>IF($X$1="",0,IF($X$1="Non-Industry",N2,IF($X$1="Industry",O2,P2)))</f>
        <v>0</v>
      </c>
      <c r="T2" s="71"/>
      <c r="U2" s="71"/>
      <c r="V2" s="85">
        <f>Q2*R2*S2</f>
        <v>0</v>
      </c>
      <c r="W2" s="69" t="s">
        <v>64</v>
      </c>
      <c r="Z2" s="34" t="str">
        <f>IF(B18="No",A18,"")</f>
        <v/>
      </c>
      <c r="AA2" s="36" t="str">
        <f>IF(B18="No",E18,"")</f>
        <v/>
      </c>
      <c r="AB2" s="36" t="str">
        <f>IF(B18="No",F18*H18,"")</f>
        <v/>
      </c>
    </row>
    <row r="3" spans="1:35" ht="25.2" customHeight="1" x14ac:dyDescent="0.3">
      <c r="A3" s="672" t="s">
        <v>141</v>
      </c>
      <c r="B3" s="673"/>
      <c r="C3" s="277" t="s">
        <v>23</v>
      </c>
      <c r="D3" s="670" t="s">
        <v>158</v>
      </c>
      <c r="E3" s="671"/>
      <c r="F3" s="671"/>
      <c r="G3" s="671"/>
      <c r="H3" s="671"/>
      <c r="I3" s="416"/>
      <c r="J3" s="174"/>
      <c r="K3" s="292" t="s">
        <v>77</v>
      </c>
      <c r="L3" s="293" t="s">
        <v>258</v>
      </c>
      <c r="M3" s="293" t="s">
        <v>319</v>
      </c>
      <c r="N3" s="189">
        <v>500</v>
      </c>
      <c r="O3" s="66">
        <f t="shared" ref="O3:O24" si="0">ROUND(N3*1.655,0)</f>
        <v>828</v>
      </c>
      <c r="P3" s="66">
        <f t="shared" ref="P3:P24" si="1">ROUND(N3*1.82,0)</f>
        <v>910</v>
      </c>
      <c r="Q3" s="70">
        <f t="shared" ref="Q3:Q15" si="2">COUNTIF($A$4:$A$15,L3)</f>
        <v>0</v>
      </c>
      <c r="R3" s="71">
        <f t="shared" ref="R3:R15" si="3">SUMIF($A$4:$A$15,L3,$C$4:$C$15)</f>
        <v>0</v>
      </c>
      <c r="S3" s="83">
        <f t="shared" ref="S3:S45" si="4">IF($X$1="",0,IF($X$1="Non-Industry",N3,IF($X$1="Industry",O3,P3)))</f>
        <v>0</v>
      </c>
      <c r="T3" s="71"/>
      <c r="U3" s="71"/>
      <c r="V3" s="85">
        <f t="shared" ref="V3:V15" si="5">Q3*R3*S3</f>
        <v>0</v>
      </c>
      <c r="W3" s="69"/>
      <c r="Y3" s="97"/>
      <c r="Z3" s="34" t="str">
        <f>IF(B19="No",A19,"")</f>
        <v/>
      </c>
      <c r="AA3" s="34" t="str">
        <f>IF(B19="No",E19,"")</f>
        <v/>
      </c>
      <c r="AB3" s="34" t="str">
        <f>IF(B19="No",F19*H19,"")</f>
        <v/>
      </c>
      <c r="AC3" s="12"/>
    </row>
    <row r="4" spans="1:35" ht="27" customHeight="1" x14ac:dyDescent="0.3">
      <c r="A4" s="633"/>
      <c r="B4" s="633"/>
      <c r="C4" s="695"/>
      <c r="D4" s="634"/>
      <c r="E4" s="635"/>
      <c r="F4" s="635"/>
      <c r="G4" s="635"/>
      <c r="H4" s="635"/>
      <c r="I4" s="636"/>
      <c r="J4" s="282"/>
      <c r="K4" s="292" t="s">
        <v>77</v>
      </c>
      <c r="L4" s="293" t="s">
        <v>320</v>
      </c>
      <c r="M4" s="293" t="s">
        <v>321</v>
      </c>
      <c r="N4" s="189">
        <v>90</v>
      </c>
      <c r="O4" s="66">
        <f t="shared" si="0"/>
        <v>149</v>
      </c>
      <c r="P4" s="66">
        <f t="shared" si="1"/>
        <v>164</v>
      </c>
      <c r="Q4" s="70">
        <f t="shared" si="2"/>
        <v>0</v>
      </c>
      <c r="R4" s="71">
        <f t="shared" si="3"/>
        <v>0</v>
      </c>
      <c r="S4" s="83">
        <f t="shared" si="4"/>
        <v>0</v>
      </c>
      <c r="T4" s="71"/>
      <c r="U4" s="71"/>
      <c r="V4" s="85">
        <f t="shared" si="5"/>
        <v>0</v>
      </c>
      <c r="W4" s="69"/>
      <c r="Y4" s="97"/>
      <c r="Z4" s="34" t="str">
        <f>IF(B20="No",A20,"")</f>
        <v/>
      </c>
      <c r="AA4" s="34" t="str">
        <f>IF(B20="No",E20,"")</f>
        <v/>
      </c>
      <c r="AB4" s="34" t="str">
        <f>IF(B20="No",F20*H20,"")</f>
        <v/>
      </c>
    </row>
    <row r="5" spans="1:35" ht="27" customHeight="1" x14ac:dyDescent="0.3">
      <c r="A5" s="633"/>
      <c r="B5" s="654"/>
      <c r="C5" s="696"/>
      <c r="D5" s="637"/>
      <c r="E5" s="638"/>
      <c r="F5" s="638"/>
      <c r="G5" s="638"/>
      <c r="H5" s="638"/>
      <c r="I5" s="514"/>
      <c r="J5" s="282"/>
      <c r="K5" s="292" t="s">
        <v>77</v>
      </c>
      <c r="L5" s="293" t="s">
        <v>322</v>
      </c>
      <c r="M5" s="293" t="s">
        <v>323</v>
      </c>
      <c r="N5" s="189">
        <v>120</v>
      </c>
      <c r="O5" s="66">
        <f t="shared" si="0"/>
        <v>199</v>
      </c>
      <c r="P5" s="66">
        <f t="shared" si="1"/>
        <v>218</v>
      </c>
      <c r="Q5" s="70">
        <f t="shared" si="2"/>
        <v>0</v>
      </c>
      <c r="R5" s="71">
        <f t="shared" si="3"/>
        <v>0</v>
      </c>
      <c r="S5" s="83">
        <f t="shared" si="4"/>
        <v>0</v>
      </c>
      <c r="T5" s="71"/>
      <c r="U5" s="71"/>
      <c r="V5" s="85">
        <f t="shared" si="5"/>
        <v>0</v>
      </c>
      <c r="W5" s="69"/>
      <c r="Y5" s="97"/>
      <c r="Z5" s="34" t="str">
        <f>IF(B21="No",A21,"")</f>
        <v/>
      </c>
      <c r="AA5" s="34" t="str">
        <f>IF(B21="No",E21,"")</f>
        <v/>
      </c>
      <c r="AB5" s="34" t="str">
        <f>IF(B21="No",F21*H21,"")</f>
        <v/>
      </c>
    </row>
    <row r="6" spans="1:35" ht="27" customHeight="1" x14ac:dyDescent="0.3">
      <c r="A6" s="633"/>
      <c r="B6" s="654"/>
      <c r="C6" s="696"/>
      <c r="D6" s="637"/>
      <c r="E6" s="638"/>
      <c r="F6" s="638"/>
      <c r="G6" s="638"/>
      <c r="H6" s="638"/>
      <c r="I6" s="514"/>
      <c r="J6" s="283"/>
      <c r="K6" s="292" t="s">
        <v>77</v>
      </c>
      <c r="L6" s="293" t="s">
        <v>359</v>
      </c>
      <c r="M6" s="293" t="s">
        <v>360</v>
      </c>
      <c r="N6" s="189">
        <v>935</v>
      </c>
      <c r="O6" s="66">
        <f t="shared" si="0"/>
        <v>1547</v>
      </c>
      <c r="P6" s="66">
        <f t="shared" si="1"/>
        <v>1702</v>
      </c>
      <c r="Q6" s="70">
        <f t="shared" si="2"/>
        <v>0</v>
      </c>
      <c r="R6" s="71">
        <f t="shared" si="3"/>
        <v>0</v>
      </c>
      <c r="S6" s="83">
        <f t="shared" si="4"/>
        <v>0</v>
      </c>
      <c r="T6" s="71"/>
      <c r="U6" s="71"/>
      <c r="V6" s="85">
        <f t="shared" si="5"/>
        <v>0</v>
      </c>
      <c r="W6" s="69"/>
      <c r="Y6" s="97"/>
      <c r="Z6" s="34" t="str">
        <f>IF(B22="No",A22,"")</f>
        <v/>
      </c>
      <c r="AA6" s="34" t="str">
        <f>IF(B22="No",E22,"")</f>
        <v/>
      </c>
      <c r="AB6" s="34" t="str">
        <f>IF(B22="No",F22*H22,"")</f>
        <v/>
      </c>
    </row>
    <row r="7" spans="1:35" ht="27" customHeight="1" x14ac:dyDescent="0.3">
      <c r="A7" s="633"/>
      <c r="B7" s="654"/>
      <c r="C7" s="696"/>
      <c r="D7" s="639"/>
      <c r="E7" s="633"/>
      <c r="F7" s="633"/>
      <c r="G7" s="633"/>
      <c r="H7" s="633"/>
      <c r="I7" s="640"/>
      <c r="J7" s="282"/>
      <c r="K7" s="292" t="s">
        <v>77</v>
      </c>
      <c r="L7" s="293" t="s">
        <v>175</v>
      </c>
      <c r="M7" s="293" t="s">
        <v>325</v>
      </c>
      <c r="N7" s="189">
        <v>8</v>
      </c>
      <c r="O7" s="66">
        <f t="shared" si="0"/>
        <v>13</v>
      </c>
      <c r="P7" s="66">
        <f t="shared" si="1"/>
        <v>15</v>
      </c>
      <c r="Q7" s="70">
        <f t="shared" si="2"/>
        <v>0</v>
      </c>
      <c r="R7" s="71">
        <f t="shared" si="3"/>
        <v>0</v>
      </c>
      <c r="S7" s="83">
        <f t="shared" si="4"/>
        <v>0</v>
      </c>
      <c r="T7" s="71"/>
      <c r="U7" s="71"/>
      <c r="V7" s="85">
        <f t="shared" si="5"/>
        <v>0</v>
      </c>
      <c r="W7" s="69"/>
      <c r="Y7" s="97"/>
      <c r="Z7" s="34" t="str">
        <f>IF(B23="No",A23,"")</f>
        <v/>
      </c>
      <c r="AA7" s="34" t="str">
        <f>IF(B23="No",E23,"")</f>
        <v/>
      </c>
      <c r="AB7" s="34" t="str">
        <f>IF(B23="No",F23*H23,"")</f>
        <v/>
      </c>
    </row>
    <row r="8" spans="1:35" ht="27" customHeight="1" x14ac:dyDescent="0.3">
      <c r="A8" s="633"/>
      <c r="B8" s="654"/>
      <c r="C8" s="696"/>
      <c r="D8" s="639"/>
      <c r="E8" s="633"/>
      <c r="F8" s="633"/>
      <c r="G8" s="633"/>
      <c r="H8" s="633"/>
      <c r="I8" s="640"/>
      <c r="J8" s="179"/>
      <c r="K8" s="292" t="s">
        <v>77</v>
      </c>
      <c r="L8" s="293" t="s">
        <v>318</v>
      </c>
      <c r="M8" s="293" t="s">
        <v>332</v>
      </c>
      <c r="N8" s="189">
        <v>263</v>
      </c>
      <c r="O8" s="66">
        <f t="shared" si="0"/>
        <v>435</v>
      </c>
      <c r="P8" s="66">
        <f t="shared" si="1"/>
        <v>479</v>
      </c>
      <c r="Q8" s="70">
        <f t="shared" si="2"/>
        <v>0</v>
      </c>
      <c r="R8" s="71">
        <f t="shared" si="3"/>
        <v>0</v>
      </c>
      <c r="S8" s="83">
        <f t="shared" si="4"/>
        <v>0</v>
      </c>
      <c r="T8" s="70"/>
      <c r="U8" s="192"/>
      <c r="V8" s="85">
        <f t="shared" si="5"/>
        <v>0</v>
      </c>
      <c r="W8" s="69"/>
      <c r="Y8" s="97"/>
      <c r="Z8" s="34" t="str">
        <f>IF(B24="No",A24,"")</f>
        <v/>
      </c>
      <c r="AA8" s="34" t="str">
        <f>IF(B24="No",E24,"")</f>
        <v/>
      </c>
      <c r="AB8" s="34" t="str">
        <f>IF(B24="No",F24*H24,"")</f>
        <v/>
      </c>
    </row>
    <row r="9" spans="1:35" ht="27.45" customHeight="1" x14ac:dyDescent="0.3">
      <c r="A9" s="633"/>
      <c r="B9" s="633"/>
      <c r="C9" s="696"/>
      <c r="D9" s="639"/>
      <c r="E9" s="633"/>
      <c r="F9" s="633"/>
      <c r="G9" s="633"/>
      <c r="H9" s="633"/>
      <c r="I9" s="640"/>
      <c r="J9" s="188"/>
      <c r="K9" s="292" t="s">
        <v>77</v>
      </c>
      <c r="L9" s="293" t="s">
        <v>351</v>
      </c>
      <c r="M9" s="293" t="s">
        <v>353</v>
      </c>
      <c r="N9" s="189">
        <v>19</v>
      </c>
      <c r="O9" s="66">
        <f t="shared" si="0"/>
        <v>31</v>
      </c>
      <c r="P9" s="66">
        <f t="shared" si="1"/>
        <v>35</v>
      </c>
      <c r="Q9" s="70">
        <f t="shared" si="2"/>
        <v>0</v>
      </c>
      <c r="R9" s="71">
        <f t="shared" si="3"/>
        <v>0</v>
      </c>
      <c r="S9" s="83">
        <f t="shared" si="4"/>
        <v>0</v>
      </c>
      <c r="T9" s="71"/>
      <c r="U9" s="191"/>
      <c r="V9" s="85">
        <f t="shared" si="5"/>
        <v>0</v>
      </c>
      <c r="W9" s="69"/>
      <c r="Y9" s="97"/>
      <c r="Z9" s="34" t="str">
        <f>IF(B25="No",A25,"")</f>
        <v/>
      </c>
      <c r="AA9" s="34" t="str">
        <f>IF(B25="No",E25,"")</f>
        <v/>
      </c>
      <c r="AB9" s="34" t="str">
        <f>IF(B25="No",F25*H25,"")</f>
        <v/>
      </c>
      <c r="AC9" s="93" t="str">
        <f>IF(A18="","",CONCATENATE($K$16,": ",C18," (",A18,")"))</f>
        <v/>
      </c>
      <c r="AD9" s="109" t="str">
        <f>IF(AC9="","",G18*H18)</f>
        <v/>
      </c>
      <c r="AE9" s="109" t="str">
        <f>IF(AC9="","",VLOOKUP(C18,$L$14:$S$23,8,FALSE))</f>
        <v/>
      </c>
      <c r="AF9" s="215" t="str">
        <f>IF(AC9="","",AD9*AE9)</f>
        <v/>
      </c>
    </row>
    <row r="10" spans="1:35" ht="27.45" customHeight="1" x14ac:dyDescent="0.3">
      <c r="A10" s="633"/>
      <c r="B10" s="633"/>
      <c r="C10" s="696"/>
      <c r="D10" s="639"/>
      <c r="E10" s="633"/>
      <c r="F10" s="633"/>
      <c r="G10" s="633"/>
      <c r="H10" s="633"/>
      <c r="I10" s="640"/>
      <c r="J10" s="188"/>
      <c r="K10" s="292" t="s">
        <v>77</v>
      </c>
      <c r="L10" s="293" t="s">
        <v>352</v>
      </c>
      <c r="M10" s="293" t="s">
        <v>354</v>
      </c>
      <c r="N10" s="697">
        <v>44</v>
      </c>
      <c r="O10" s="189">
        <f t="shared" si="0"/>
        <v>73</v>
      </c>
      <c r="P10" s="190">
        <f t="shared" si="1"/>
        <v>80</v>
      </c>
      <c r="Q10" s="70">
        <f t="shared" si="2"/>
        <v>0</v>
      </c>
      <c r="R10" s="71">
        <f t="shared" si="3"/>
        <v>0</v>
      </c>
      <c r="S10" s="83">
        <f t="shared" si="4"/>
        <v>0</v>
      </c>
      <c r="T10" s="192"/>
      <c r="U10" s="192"/>
      <c r="V10" s="85">
        <f t="shared" si="5"/>
        <v>0</v>
      </c>
      <c r="W10" s="69"/>
      <c r="Y10" s="97"/>
      <c r="Z10" s="64" t="str">
        <f>IF(B26="No",A26,"")</f>
        <v/>
      </c>
      <c r="AA10" s="64" t="str">
        <f>IF(B26="No",E26,"")</f>
        <v/>
      </c>
      <c r="AB10" s="64" t="str">
        <f>IF(B26="No",F26*H26,"")</f>
        <v/>
      </c>
      <c r="AC10" s="67" t="str">
        <f>IF(A19="","",CONCATENATE($K$16,": ",C19," (",A19,")"))</f>
        <v/>
      </c>
      <c r="AD10" s="12" t="str">
        <f>IF(AC10="","",G19*H19)</f>
        <v/>
      </c>
      <c r="AE10" s="12" t="str">
        <f>IF(AC10="","",VLOOKUP(C19,$L$14:$S$23,8,FALSE))</f>
        <v/>
      </c>
      <c r="AF10" s="97" t="str">
        <f t="shared" ref="AF10:AF17" si="6">IF(AC10="","",AD10*AE10)</f>
        <v/>
      </c>
    </row>
    <row r="11" spans="1:35" ht="27.45" customHeight="1" x14ac:dyDescent="0.3">
      <c r="A11" s="633"/>
      <c r="B11" s="640"/>
      <c r="C11" s="696"/>
      <c r="D11" s="639"/>
      <c r="E11" s="633"/>
      <c r="F11" s="633"/>
      <c r="G11" s="633"/>
      <c r="H11" s="633"/>
      <c r="I11" s="640"/>
      <c r="J11" s="188"/>
      <c r="K11" s="292" t="s">
        <v>77</v>
      </c>
      <c r="L11" s="293" t="s">
        <v>174</v>
      </c>
      <c r="M11" s="293" t="s">
        <v>324</v>
      </c>
      <c r="N11" s="189">
        <v>17</v>
      </c>
      <c r="O11" s="189">
        <f t="shared" si="0"/>
        <v>28</v>
      </c>
      <c r="P11" s="190">
        <f t="shared" si="1"/>
        <v>31</v>
      </c>
      <c r="Q11" s="70">
        <f t="shared" si="2"/>
        <v>0</v>
      </c>
      <c r="R11" s="71">
        <f t="shared" si="3"/>
        <v>0</v>
      </c>
      <c r="S11" s="83">
        <f t="shared" si="4"/>
        <v>0</v>
      </c>
      <c r="T11" s="70"/>
      <c r="U11" s="191"/>
      <c r="V11" s="85">
        <f t="shared" si="5"/>
        <v>0</v>
      </c>
      <c r="W11" s="69"/>
      <c r="Z11" s="12"/>
      <c r="AA11" s="12"/>
      <c r="AB11" s="12"/>
      <c r="AC11" s="67" t="str">
        <f>IF(A20="","",CONCATENATE($K$16,": ",C20," (",A20,")"))</f>
        <v/>
      </c>
      <c r="AD11" s="12" t="str">
        <f>IF(AC11="","",G20*H20)</f>
        <v/>
      </c>
      <c r="AE11" s="12" t="str">
        <f>IF(AC11="","",VLOOKUP(C20,$L$14:$S$23,8,FALSE))</f>
        <v/>
      </c>
      <c r="AF11" s="97" t="str">
        <f t="shared" si="6"/>
        <v/>
      </c>
    </row>
    <row r="12" spans="1:35" ht="27.45" customHeight="1" x14ac:dyDescent="0.3">
      <c r="A12" s="633"/>
      <c r="B12" s="640"/>
      <c r="C12" s="696"/>
      <c r="D12" s="639"/>
      <c r="E12" s="633"/>
      <c r="F12" s="633"/>
      <c r="G12" s="633"/>
      <c r="H12" s="633"/>
      <c r="I12" s="640"/>
      <c r="J12" s="188"/>
      <c r="K12" s="292" t="s">
        <v>77</v>
      </c>
      <c r="L12" s="293" t="s">
        <v>355</v>
      </c>
      <c r="M12" s="293" t="s">
        <v>357</v>
      </c>
      <c r="N12" s="189">
        <v>17</v>
      </c>
      <c r="O12" s="189">
        <f t="shared" si="0"/>
        <v>28</v>
      </c>
      <c r="P12" s="190">
        <f t="shared" si="1"/>
        <v>31</v>
      </c>
      <c r="Q12" s="70">
        <f t="shared" si="2"/>
        <v>0</v>
      </c>
      <c r="R12" s="71">
        <f t="shared" si="3"/>
        <v>0</v>
      </c>
      <c r="S12" s="83">
        <f t="shared" si="4"/>
        <v>0</v>
      </c>
      <c r="T12" s="192"/>
      <c r="U12" s="192"/>
      <c r="V12" s="85">
        <f t="shared" si="5"/>
        <v>0</v>
      </c>
      <c r="W12" s="69"/>
      <c r="Z12" t="str">
        <f>IF(SUM('Protocol Cover Sheet'!$O$27:$O$35)&gt;0,1,"")</f>
        <v/>
      </c>
      <c r="AA12" s="168" t="str">
        <f>IF(Z12="","",VLOOKUP(Z12,'Protocol Cover Sheet'!$O$27:$Q$35,3,FALSE))</f>
        <v/>
      </c>
      <c r="AB12" s="168" t="str">
        <f>IF(Z12="","",VLOOKUP(Z12,'Protocol Cover Sheet'!$O$27:$Q$35,2,FALSE))</f>
        <v/>
      </c>
      <c r="AC12" s="67" t="str">
        <f>IF(A21="","",CONCATENATE($K$16,": ",C21," (",A21,")"))</f>
        <v/>
      </c>
      <c r="AD12" s="12" t="str">
        <f>IF(AC12="","",G21*H21)</f>
        <v/>
      </c>
      <c r="AE12" s="12" t="str">
        <f>IF(AC12="","",VLOOKUP(C21,$L$14:$S$23,8,FALSE))</f>
        <v/>
      </c>
      <c r="AF12" s="97" t="str">
        <f t="shared" si="6"/>
        <v/>
      </c>
    </row>
    <row r="13" spans="1:35" ht="27.45" customHeight="1" x14ac:dyDescent="0.3">
      <c r="A13" s="633"/>
      <c r="B13" s="640"/>
      <c r="C13" s="696"/>
      <c r="D13" s="639"/>
      <c r="E13" s="633"/>
      <c r="F13" s="633"/>
      <c r="G13" s="633"/>
      <c r="H13" s="633"/>
      <c r="I13" s="640"/>
      <c r="J13" s="188"/>
      <c r="K13" s="292" t="s">
        <v>77</v>
      </c>
      <c r="L13" s="293" t="s">
        <v>356</v>
      </c>
      <c r="M13" s="293" t="s">
        <v>358</v>
      </c>
      <c r="N13" s="189">
        <v>42</v>
      </c>
      <c r="O13" s="189">
        <f t="shared" si="0"/>
        <v>70</v>
      </c>
      <c r="P13" s="190">
        <f t="shared" si="1"/>
        <v>76</v>
      </c>
      <c r="Q13" s="70">
        <f t="shared" si="2"/>
        <v>0</v>
      </c>
      <c r="R13" s="71">
        <f t="shared" si="3"/>
        <v>0</v>
      </c>
      <c r="S13" s="83">
        <f t="shared" si="4"/>
        <v>0</v>
      </c>
      <c r="T13" s="192"/>
      <c r="U13" s="192"/>
      <c r="V13" s="85">
        <f t="shared" si="5"/>
        <v>0</v>
      </c>
      <c r="W13" s="69"/>
      <c r="Z13" t="str">
        <f>IF(SUM('Protocol Cover Sheet'!$O$27:$O$35)&gt;2,2,"")</f>
        <v/>
      </c>
      <c r="AA13" s="168" t="str">
        <f>IF(Z13="","",VLOOKUP(Z13,'Protocol Cover Sheet'!$O$27:$Q$35,3,FALSE))</f>
        <v/>
      </c>
      <c r="AB13" s="168" t="str">
        <f>IF(Z13="","",VLOOKUP(Z13,'Protocol Cover Sheet'!$O$27:$Q$35,2,FALSE))</f>
        <v/>
      </c>
      <c r="AC13" s="67" t="str">
        <f>IF(A22="","",CONCATENATE($K$16,": ",C22," (",A22,")"))</f>
        <v/>
      </c>
      <c r="AD13" s="12" t="str">
        <f>IF(AC13="","",G22*H22)</f>
        <v/>
      </c>
      <c r="AE13" s="12" t="str">
        <f>IF(AC13="","",VLOOKUP(C22,$L$14:$S$23,8,FALSE))</f>
        <v/>
      </c>
      <c r="AF13" s="97" t="str">
        <f t="shared" si="6"/>
        <v/>
      </c>
    </row>
    <row r="14" spans="1:35" ht="27" customHeight="1" x14ac:dyDescent="0.3">
      <c r="A14" s="633"/>
      <c r="B14" s="640"/>
      <c r="C14" s="117"/>
      <c r="D14" s="639"/>
      <c r="E14" s="633"/>
      <c r="F14" s="633"/>
      <c r="G14" s="633"/>
      <c r="H14" s="633"/>
      <c r="I14" s="640"/>
      <c r="J14" s="188"/>
      <c r="K14" s="292" t="s">
        <v>77</v>
      </c>
      <c r="L14" s="293" t="s">
        <v>347</v>
      </c>
      <c r="M14" s="293" t="s">
        <v>348</v>
      </c>
      <c r="N14" s="189">
        <v>116</v>
      </c>
      <c r="O14" s="189">
        <f t="shared" si="0"/>
        <v>192</v>
      </c>
      <c r="P14" s="190">
        <f t="shared" si="1"/>
        <v>211</v>
      </c>
      <c r="Q14" s="70">
        <f t="shared" si="2"/>
        <v>0</v>
      </c>
      <c r="R14" s="71">
        <f t="shared" si="3"/>
        <v>0</v>
      </c>
      <c r="S14" s="83">
        <f t="shared" si="4"/>
        <v>0</v>
      </c>
      <c r="T14" s="192"/>
      <c r="U14" s="192"/>
      <c r="V14" s="85">
        <f t="shared" si="5"/>
        <v>0</v>
      </c>
      <c r="W14" s="69"/>
      <c r="Z14" t="str">
        <f>IF(SUM('Protocol Cover Sheet'!$O$27:$O$35)&gt;5,3,"")</f>
        <v/>
      </c>
      <c r="AA14" s="168" t="str">
        <f>IF(Z14="","",VLOOKUP(Z14,'Protocol Cover Sheet'!$O$27:$Q$35,3,FALSE))</f>
        <v/>
      </c>
      <c r="AB14" s="168" t="str">
        <f>IF(Z14="","",VLOOKUP(Z14,'Protocol Cover Sheet'!$O$27:$Q$35,2,FALSE))</f>
        <v/>
      </c>
      <c r="AC14" s="67" t="str">
        <f>IF(A23="","",CONCATENATE($K$16,": ",C23," (",A23,")"))</f>
        <v/>
      </c>
      <c r="AD14" s="12" t="str">
        <f>IF(AC14="","",G23*H23)</f>
        <v/>
      </c>
      <c r="AE14" s="12" t="str">
        <f>IF(AC14="","",VLOOKUP(C23,$L$14:$S$23,8,FALSE))</f>
        <v/>
      </c>
      <c r="AF14" s="97" t="str">
        <f t="shared" si="6"/>
        <v/>
      </c>
    </row>
    <row r="15" spans="1:35" ht="27.45" customHeight="1" thickBot="1" x14ac:dyDescent="0.35">
      <c r="A15" s="642"/>
      <c r="B15" s="642"/>
      <c r="C15" s="119"/>
      <c r="D15" s="641"/>
      <c r="E15" s="642"/>
      <c r="F15" s="642"/>
      <c r="G15" s="642"/>
      <c r="H15" s="642"/>
      <c r="I15" s="643"/>
      <c r="J15" s="188"/>
      <c r="K15" s="698" t="s">
        <v>77</v>
      </c>
      <c r="L15" s="699" t="s">
        <v>349</v>
      </c>
      <c r="M15" s="699" t="s">
        <v>350</v>
      </c>
      <c r="N15" s="72">
        <v>67</v>
      </c>
      <c r="O15" s="72">
        <f t="shared" si="0"/>
        <v>111</v>
      </c>
      <c r="P15" s="358">
        <f t="shared" si="1"/>
        <v>122</v>
      </c>
      <c r="Q15" s="73">
        <f t="shared" si="2"/>
        <v>0</v>
      </c>
      <c r="R15" s="74">
        <f t="shared" si="3"/>
        <v>0</v>
      </c>
      <c r="S15" s="84">
        <f t="shared" si="4"/>
        <v>0</v>
      </c>
      <c r="T15" s="74"/>
      <c r="U15" s="74"/>
      <c r="V15" s="86">
        <f t="shared" si="5"/>
        <v>0</v>
      </c>
      <c r="W15" s="69"/>
      <c r="Z15" t="str">
        <f>IF(SUM('Protocol Cover Sheet'!$O$27:$O$35)&gt;9,4,"")</f>
        <v/>
      </c>
      <c r="AA15" s="168" t="str">
        <f>IF(Z15="","",VLOOKUP(Z15,'Protocol Cover Sheet'!$O$27:$Q$35,3,FALSE))</f>
        <v/>
      </c>
      <c r="AB15" s="168" t="str">
        <f>IF(Z15="","",VLOOKUP(Z15,'Protocol Cover Sheet'!$O$27:$Q$35,2,FALSE))</f>
        <v/>
      </c>
      <c r="AC15" s="67" t="str">
        <f>IF(A24="","",CONCATENATE($K$16,": ",C24," (",A24,")"))</f>
        <v/>
      </c>
      <c r="AD15" s="12" t="str">
        <f>IF(AC15="","",G24*H24)</f>
        <v/>
      </c>
      <c r="AE15" s="12" t="str">
        <f>IF(AC15="","",VLOOKUP(C24,$L$14:$S$23,8,FALSE))</f>
        <v/>
      </c>
      <c r="AF15" s="97" t="str">
        <f t="shared" si="6"/>
        <v/>
      </c>
      <c r="AI15" s="12"/>
    </row>
    <row r="16" spans="1:35" ht="27.45" hidden="1" customHeight="1" thickBot="1" x14ac:dyDescent="0.4">
      <c r="A16" s="668" t="s">
        <v>129</v>
      </c>
      <c r="B16" s="669"/>
      <c r="C16" s="669"/>
      <c r="D16" s="669"/>
      <c r="E16" s="669"/>
      <c r="F16" s="669"/>
      <c r="G16" s="669"/>
      <c r="H16" s="669"/>
      <c r="I16" s="421"/>
      <c r="J16" s="188"/>
      <c r="K16" s="285" t="s">
        <v>78</v>
      </c>
      <c r="L16" s="284" t="s">
        <v>251</v>
      </c>
      <c r="M16" s="281" t="s">
        <v>191</v>
      </c>
      <c r="N16" s="68">
        <v>31</v>
      </c>
      <c r="O16" s="189">
        <f>ROUND(N16*1.655,0)</f>
        <v>51</v>
      </c>
      <c r="P16" s="190">
        <f t="shared" si="1"/>
        <v>56</v>
      </c>
      <c r="Q16" s="70">
        <f>COUNTIF($C$18:$D$26,L16)</f>
        <v>0</v>
      </c>
      <c r="R16" s="71">
        <f ca="1">SUMIF($C$18:$D$26,L16,$J$18:$J$26)</f>
        <v>0</v>
      </c>
      <c r="S16" s="83">
        <f t="shared" si="4"/>
        <v>0</v>
      </c>
      <c r="T16" s="71">
        <f ca="1">SUMIF($C$18:$D$26,L16,$G$18:$G$26)</f>
        <v>0</v>
      </c>
      <c r="U16" s="71">
        <f>IF(Q16=0,0,(SUMIF($C$18:$D$26,L16,$H$18:$H$26))/Q16)</f>
        <v>0</v>
      </c>
      <c r="V16" s="85">
        <f t="shared" ref="V16:V32" ca="1" si="7">R16*S16</f>
        <v>0</v>
      </c>
      <c r="W16" s="69"/>
      <c r="Z16" t="str">
        <f>IF(SUM('Protocol Cover Sheet'!$O$27:$O$35)&gt;14,5,"")</f>
        <v/>
      </c>
      <c r="AA16" s="168" t="str">
        <f>IF(Z16="","",VLOOKUP(Z16,'Protocol Cover Sheet'!$O$27:$Q$35,3,FALSE))</f>
        <v/>
      </c>
      <c r="AB16" s="168" t="str">
        <f>IF(Z16="","",VLOOKUP(Z16,'Protocol Cover Sheet'!$O$27:$Q$35,2,FALSE))</f>
        <v/>
      </c>
      <c r="AC16" s="67" t="str">
        <f>IF(A25="","",CONCATENATE($K$16,": ",C25," (",A25,")"))</f>
        <v/>
      </c>
      <c r="AD16" s="12" t="str">
        <f>IF(AC16="","",G25*H25)</f>
        <v/>
      </c>
      <c r="AE16" s="12" t="str">
        <f>IF(AC16="","",VLOOKUP(C25,$L$14:$S$23,8,FALSE))</f>
        <v/>
      </c>
      <c r="AF16" s="97" t="str">
        <f t="shared" si="6"/>
        <v/>
      </c>
      <c r="AG16" s="12"/>
      <c r="AH16" s="12"/>
    </row>
    <row r="17" spans="1:32" ht="27.45" hidden="1" customHeight="1" thickBot="1" x14ac:dyDescent="0.35">
      <c r="A17" s="153" t="s">
        <v>163</v>
      </c>
      <c r="B17" s="87" t="s">
        <v>160</v>
      </c>
      <c r="C17" s="677" t="s">
        <v>142</v>
      </c>
      <c r="D17" s="678"/>
      <c r="E17" s="149" t="s">
        <v>165</v>
      </c>
      <c r="F17" s="149" t="s">
        <v>168</v>
      </c>
      <c r="G17" s="176" t="s">
        <v>166</v>
      </c>
      <c r="H17" s="154" t="s">
        <v>130</v>
      </c>
      <c r="I17" s="186" t="s">
        <v>176</v>
      </c>
      <c r="J17" s="188"/>
      <c r="K17" s="159" t="s">
        <v>78</v>
      </c>
      <c r="L17" s="160" t="s">
        <v>252</v>
      </c>
      <c r="M17" s="161" t="s">
        <v>193</v>
      </c>
      <c r="N17" s="68">
        <v>46</v>
      </c>
      <c r="O17" s="66">
        <f t="shared" si="0"/>
        <v>76</v>
      </c>
      <c r="P17" s="190">
        <f t="shared" si="1"/>
        <v>84</v>
      </c>
      <c r="Q17" s="70">
        <f>COUNTIF($C$18:$D$26,L17)</f>
        <v>0</v>
      </c>
      <c r="R17" s="71">
        <f ca="1">SUMIF($C$18:$D$26,L17,$J$18:$J$26)</f>
        <v>0</v>
      </c>
      <c r="S17" s="83">
        <f t="shared" si="4"/>
        <v>0</v>
      </c>
      <c r="T17" s="71">
        <f ca="1">SUMIF($C$18:$D$26,L17,$G$18:$G$26)</f>
        <v>0</v>
      </c>
      <c r="U17" s="71">
        <f>IF(Q17=0,0,(SUMIF($C$18:$D$26,L17,$H$18:$H$26))/Q17)</f>
        <v>0</v>
      </c>
      <c r="V17" s="85">
        <f t="shared" ca="1" si="7"/>
        <v>0</v>
      </c>
      <c r="W17" s="69"/>
      <c r="Z17" t="str">
        <f>IF(SUM('Protocol Cover Sheet'!$O$27:$O$35)&gt;20,6,"")</f>
        <v/>
      </c>
      <c r="AA17" s="168" t="str">
        <f>IF(Z17="","",VLOOKUP(Z17,'Protocol Cover Sheet'!$O$27:$Q$35,3,FALSE))</f>
        <v/>
      </c>
      <c r="AB17" s="168" t="str">
        <f>IF(Z17="","",VLOOKUP(Z17,'Protocol Cover Sheet'!$O$27:$Q$35,2,FALSE))</f>
        <v/>
      </c>
      <c r="AC17" s="96" t="str">
        <f>IF(A26="","",CONCATENATE($K$16,": ",C26," (",A26,")"))</f>
        <v/>
      </c>
      <c r="AD17" s="216" t="str">
        <f>IF(AC17="","",G26*H26)</f>
        <v/>
      </c>
      <c r="AE17" s="216" t="str">
        <f>IF(AC17="","",VLOOKUP(C26,$L$14:$S$23,8,FALSE))</f>
        <v/>
      </c>
      <c r="AF17" s="217" t="str">
        <f t="shared" si="6"/>
        <v/>
      </c>
    </row>
    <row r="18" spans="1:32" ht="27.45" hidden="1" customHeight="1" thickBot="1" x14ac:dyDescent="0.35">
      <c r="A18" s="169" t="str">
        <f>'Manufacturing-Testing-Other'!AA12</f>
        <v/>
      </c>
      <c r="B18" s="170" t="str">
        <f>AB12</f>
        <v/>
      </c>
      <c r="C18" s="679" t="str">
        <f>IF(A18="","",Dispensing!B38)</f>
        <v/>
      </c>
      <c r="D18" s="636"/>
      <c r="E18" s="150"/>
      <c r="F18" s="181"/>
      <c r="G18" s="182" t="str">
        <f>IF(A18="","",Dispensing!B3)</f>
        <v/>
      </c>
      <c r="H18" s="183" t="str">
        <f>IF(A18="","",Dispensing!B2)</f>
        <v/>
      </c>
      <c r="I18" s="118" t="str">
        <f>IF(A18="","",Dispensing!B4)</f>
        <v/>
      </c>
      <c r="J18" s="286" t="e">
        <f>G18*H18</f>
        <v>#VALUE!</v>
      </c>
      <c r="K18" s="159" t="s">
        <v>78</v>
      </c>
      <c r="L18" s="160" t="s">
        <v>253</v>
      </c>
      <c r="M18" s="161" t="s">
        <v>255</v>
      </c>
      <c r="N18" s="68">
        <v>66</v>
      </c>
      <c r="O18" s="66">
        <f t="shared" si="0"/>
        <v>109</v>
      </c>
      <c r="P18" s="190">
        <f t="shared" si="1"/>
        <v>120</v>
      </c>
      <c r="Q18" s="70">
        <f>COUNTIF($C$18:$D$26,L18)</f>
        <v>0</v>
      </c>
      <c r="R18" s="71">
        <f ca="1">SUMIF($C$18:$D$26,L18,$J$18:$J$26)</f>
        <v>0</v>
      </c>
      <c r="S18" s="83">
        <f t="shared" si="4"/>
        <v>0</v>
      </c>
      <c r="T18" s="71">
        <f ca="1">SUMIF($C$18:$D$26,L18,$G$18:$G$26)</f>
        <v>0</v>
      </c>
      <c r="U18" s="71">
        <f>IF(Q18=0,0,(SUMIF($C$18:$D$26,L18,$H$18:$H$26))/Q18)</f>
        <v>0</v>
      </c>
      <c r="V18" s="85">
        <f t="shared" ca="1" si="7"/>
        <v>0</v>
      </c>
      <c r="W18" s="69"/>
      <c r="Z18" t="str">
        <f>IF(SUM('Protocol Cover Sheet'!$O$27:$O$35)&gt;27,7,"")</f>
        <v/>
      </c>
      <c r="AA18" s="168" t="str">
        <f>IF(Z18="","",VLOOKUP(Z18,'Protocol Cover Sheet'!$O$27:$Q$35,3,FALSE))</f>
        <v/>
      </c>
      <c r="AB18" s="168" t="str">
        <f>IF(Z18="","",VLOOKUP(Z18,'Protocol Cover Sheet'!$O$27:$Q$35,2,FALSE))</f>
        <v/>
      </c>
    </row>
    <row r="19" spans="1:32" ht="27.45" hidden="1" customHeight="1" thickBot="1" x14ac:dyDescent="0.35">
      <c r="A19" s="169" t="str">
        <f>'Manufacturing-Testing-Other'!AA13</f>
        <v/>
      </c>
      <c r="B19" s="171" t="str">
        <f t="shared" ref="B19:B26" si="8">AB13</f>
        <v/>
      </c>
      <c r="C19" s="625" t="str">
        <f>IF(A19="","",Dispensing!F38)</f>
        <v/>
      </c>
      <c r="D19" s="514"/>
      <c r="E19" s="151"/>
      <c r="F19" s="184"/>
      <c r="G19" s="182" t="str">
        <f>IF(A19="","",Dispensing!F3)</f>
        <v/>
      </c>
      <c r="H19" s="183" t="str">
        <f>IF(A19="","",Dispensing!F2)</f>
        <v/>
      </c>
      <c r="I19" s="118" t="str">
        <f>IF(A19="","",Dispensing!F4)</f>
        <v/>
      </c>
      <c r="J19" s="286" t="e">
        <f t="shared" ref="J19:J26" si="9">G19*H19</f>
        <v>#VALUE!</v>
      </c>
      <c r="K19" s="159" t="s">
        <v>78</v>
      </c>
      <c r="L19" s="160" t="s">
        <v>254</v>
      </c>
      <c r="M19" s="161" t="s">
        <v>256</v>
      </c>
      <c r="N19" s="68">
        <v>100</v>
      </c>
      <c r="O19" s="66">
        <f t="shared" si="0"/>
        <v>166</v>
      </c>
      <c r="P19" s="190">
        <f t="shared" si="1"/>
        <v>182</v>
      </c>
      <c r="Q19" s="70">
        <f>COUNTIF($C$18:$D$26,L19)</f>
        <v>0</v>
      </c>
      <c r="R19" s="71">
        <f ca="1">SUMIF($C$18:$D$26,L19,$J$18:$J$26)</f>
        <v>0</v>
      </c>
      <c r="S19" s="83">
        <f t="shared" si="4"/>
        <v>0</v>
      </c>
      <c r="T19" s="71">
        <f ca="1">SUMIF($C$18:$D$26,L19,$G$18:$G$26)</f>
        <v>0</v>
      </c>
      <c r="U19" s="71">
        <f>IF(Q19=0,0,(SUMIF($C$18:$D$26,L19,$H$18:$H$26))/Q19)</f>
        <v>0</v>
      </c>
      <c r="V19" s="85">
        <f t="shared" ca="1" si="7"/>
        <v>0</v>
      </c>
      <c r="W19" s="69"/>
      <c r="Z19" t="str">
        <f>IF(SUM('Protocol Cover Sheet'!$O$27:$O$35)&gt;35,8,"")</f>
        <v/>
      </c>
      <c r="AA19" s="168" t="str">
        <f>IF(Z19="","",VLOOKUP(Z19,'Protocol Cover Sheet'!$O$27:$Q$35,3,FALSE))</f>
        <v/>
      </c>
      <c r="AB19" s="168" t="str">
        <f>IF(Z19="","",VLOOKUP(Z19,'Protocol Cover Sheet'!$O$27:$Q$35,2,FALSE))</f>
        <v/>
      </c>
    </row>
    <row r="20" spans="1:32" ht="27.45" hidden="1" customHeight="1" thickBot="1" x14ac:dyDescent="0.35">
      <c r="A20" s="169" t="str">
        <f>'Manufacturing-Testing-Other'!AA14</f>
        <v/>
      </c>
      <c r="B20" s="172" t="str">
        <f t="shared" si="8"/>
        <v/>
      </c>
      <c r="C20" s="625" t="str">
        <f>IF(A20="","",Dispensing!J38)</f>
        <v/>
      </c>
      <c r="D20" s="514"/>
      <c r="E20" s="151"/>
      <c r="F20" s="184"/>
      <c r="G20" s="182" t="str">
        <f>IF(A20="","",Dispensing!J3)</f>
        <v/>
      </c>
      <c r="H20" s="183" t="str">
        <f>IF(A20="","",Dispensing!J2)</f>
        <v/>
      </c>
      <c r="I20" s="118" t="str">
        <f>IF(A20="","",Dispensing!J4)</f>
        <v/>
      </c>
      <c r="J20" s="286" t="e">
        <f t="shared" si="9"/>
        <v>#VALUE!</v>
      </c>
      <c r="K20" s="159" t="s">
        <v>78</v>
      </c>
      <c r="L20" s="160" t="s">
        <v>81</v>
      </c>
      <c r="M20" s="161" t="s">
        <v>191</v>
      </c>
      <c r="N20" s="68">
        <v>73</v>
      </c>
      <c r="O20" s="66">
        <f t="shared" si="0"/>
        <v>121</v>
      </c>
      <c r="P20" s="190">
        <f t="shared" si="1"/>
        <v>133</v>
      </c>
      <c r="Q20" s="70">
        <f>COUNTIF($C$18:$D$26,L20)</f>
        <v>0</v>
      </c>
      <c r="R20" s="71">
        <f ca="1">SUMIF($C$18:$D$26,L20,$J$18:$J$26)</f>
        <v>0</v>
      </c>
      <c r="S20" s="83">
        <f t="shared" si="4"/>
        <v>0</v>
      </c>
      <c r="T20" s="71">
        <f ca="1">SUMIF($C$18:$D$26,L20,$G$18:$G$26)</f>
        <v>0</v>
      </c>
      <c r="U20" s="71">
        <f>IF(Q20=0,0,(SUMIF($C$18:$D$26,L20,$H$18:$H$26))/Q20)</f>
        <v>0</v>
      </c>
      <c r="V20" s="85">
        <f t="shared" ca="1" si="7"/>
        <v>0</v>
      </c>
      <c r="W20" s="69"/>
      <c r="Z20" t="str">
        <f>IF(SUM('Protocol Cover Sheet'!$O$27:$O$35)&gt;44,9,"")</f>
        <v/>
      </c>
      <c r="AA20" s="168" t="str">
        <f>IF(Z20="","",VLOOKUP(Z20,'Protocol Cover Sheet'!$O$27:$Q$35,3,FALSE))</f>
        <v/>
      </c>
      <c r="AB20" s="168" t="str">
        <f>IF(Z20="","",VLOOKUP(Z20,'Protocol Cover Sheet'!$O$27:$Q$35,2,FALSE))</f>
        <v/>
      </c>
    </row>
    <row r="21" spans="1:32" ht="27.45" hidden="1" customHeight="1" thickBot="1" x14ac:dyDescent="0.35">
      <c r="A21" s="169" t="str">
        <f>'Manufacturing-Testing-Other'!AA15</f>
        <v/>
      </c>
      <c r="B21" s="171" t="str">
        <f t="shared" si="8"/>
        <v/>
      </c>
      <c r="C21" s="625" t="str">
        <f>IF(A21="","",Dispensing!N38)</f>
        <v/>
      </c>
      <c r="D21" s="514"/>
      <c r="E21" s="151"/>
      <c r="F21" s="184"/>
      <c r="G21" s="182" t="str">
        <f>IF(A21="","",Dispensing!N3)</f>
        <v/>
      </c>
      <c r="H21" s="183" t="str">
        <f>IF(A21="","",Dispensing!N2)</f>
        <v/>
      </c>
      <c r="I21" s="118" t="str">
        <f>IF(A21="","",Dispensing!N4)</f>
        <v/>
      </c>
      <c r="J21" s="286" t="e">
        <f t="shared" si="9"/>
        <v>#VALUE!</v>
      </c>
      <c r="K21" s="159" t="s">
        <v>78</v>
      </c>
      <c r="L21" s="160" t="s">
        <v>80</v>
      </c>
      <c r="M21" s="161" t="s">
        <v>193</v>
      </c>
      <c r="N21" s="68">
        <v>102</v>
      </c>
      <c r="O21" s="66">
        <f t="shared" si="0"/>
        <v>169</v>
      </c>
      <c r="P21" s="190">
        <f t="shared" si="1"/>
        <v>186</v>
      </c>
      <c r="Q21" s="70">
        <f>COUNTIF($C$18:$D$26,L21)</f>
        <v>0</v>
      </c>
      <c r="R21" s="71">
        <f ca="1">SUMIF($C$18:$D$26,L21,$J$18:$J$26)</f>
        <v>0</v>
      </c>
      <c r="S21" s="83">
        <f t="shared" si="4"/>
        <v>0</v>
      </c>
      <c r="T21" s="192">
        <f ca="1">SUMIF($C$18:$D$26,L21,$G$18:$G$26)</f>
        <v>0</v>
      </c>
      <c r="U21" s="191">
        <f>IF(Q21=0,0,(SUMIF($C$18:$D$26,L21,$H$18:$H$26))/Q21)</f>
        <v>0</v>
      </c>
      <c r="V21" s="85">
        <f t="shared" ca="1" si="7"/>
        <v>0</v>
      </c>
      <c r="W21" s="69"/>
    </row>
    <row r="22" spans="1:32" ht="27.45" hidden="1" customHeight="1" thickBot="1" x14ac:dyDescent="0.35">
      <c r="A22" s="169" t="str">
        <f>'Manufacturing-Testing-Other'!AA16</f>
        <v/>
      </c>
      <c r="B22" s="172" t="str">
        <f t="shared" si="8"/>
        <v/>
      </c>
      <c r="C22" s="625" t="str">
        <f>IF(A22="","",Dispensing!R38)</f>
        <v/>
      </c>
      <c r="D22" s="514"/>
      <c r="E22" s="155"/>
      <c r="F22" s="184"/>
      <c r="G22" s="182" t="str">
        <f>IF(A22="","",Dispensing!R3)</f>
        <v/>
      </c>
      <c r="H22" s="183" t="str">
        <f>IF(A22="","",Dispensing!R2)</f>
        <v/>
      </c>
      <c r="I22" s="118" t="str">
        <f>IF(A22="","",Dispensing!R4)</f>
        <v/>
      </c>
      <c r="J22" s="286" t="e">
        <f t="shared" si="9"/>
        <v>#VALUE!</v>
      </c>
      <c r="K22" s="159" t="s">
        <v>78</v>
      </c>
      <c r="L22" s="160" t="s">
        <v>79</v>
      </c>
      <c r="M22" s="161" t="s">
        <v>196</v>
      </c>
      <c r="N22" s="68">
        <v>168</v>
      </c>
      <c r="O22" s="66">
        <f t="shared" si="0"/>
        <v>278</v>
      </c>
      <c r="P22" s="190">
        <f t="shared" si="1"/>
        <v>306</v>
      </c>
      <c r="Q22" s="70">
        <f>COUNTIF($C$18:$D$26,L22)</f>
        <v>0</v>
      </c>
      <c r="R22" s="71">
        <f ca="1">SUMIF($C$18:$D$26,L22,$J$18:$J$26)</f>
        <v>0</v>
      </c>
      <c r="S22" s="83">
        <f t="shared" si="4"/>
        <v>0</v>
      </c>
      <c r="T22" s="192">
        <f ca="1">SUMIF($C$18:$D$26,L22,$G$18:$G$26)</f>
        <v>0</v>
      </c>
      <c r="U22" s="191">
        <f>IF(Q22=0,0,(SUMIF($C$18:$D$26,L22,$H$18:$H$26))/Q22)</f>
        <v>0</v>
      </c>
      <c r="V22" s="85">
        <f t="shared" ca="1" si="7"/>
        <v>0</v>
      </c>
      <c r="W22" s="69"/>
    </row>
    <row r="23" spans="1:32" ht="27.45" hidden="1" customHeight="1" thickBot="1" x14ac:dyDescent="0.35">
      <c r="A23" s="169" t="str">
        <f>'Manufacturing-Testing-Other'!AA17</f>
        <v/>
      </c>
      <c r="B23" s="171" t="str">
        <f t="shared" si="8"/>
        <v/>
      </c>
      <c r="C23" s="625" t="str">
        <f>IF(A23="","",Dispensing!V38)</f>
        <v/>
      </c>
      <c r="D23" s="514"/>
      <c r="E23" s="155"/>
      <c r="F23" s="184"/>
      <c r="G23" s="182" t="str">
        <f>IF(A23="","",Dispensing!V3)</f>
        <v/>
      </c>
      <c r="H23" s="183" t="str">
        <f>IF(A23="","",Dispensing!V2)</f>
        <v/>
      </c>
      <c r="I23" s="118" t="str">
        <f>IF(A23="","",Dispensing!V4)</f>
        <v/>
      </c>
      <c r="J23" s="286" t="e">
        <f t="shared" si="9"/>
        <v>#VALUE!</v>
      </c>
      <c r="K23" s="159" t="s">
        <v>78</v>
      </c>
      <c r="L23" s="160" t="s">
        <v>198</v>
      </c>
      <c r="M23" s="161" t="s">
        <v>199</v>
      </c>
      <c r="N23" s="68">
        <v>304</v>
      </c>
      <c r="O23" s="66">
        <f t="shared" si="0"/>
        <v>503</v>
      </c>
      <c r="P23" s="190">
        <f t="shared" si="1"/>
        <v>553</v>
      </c>
      <c r="Q23" s="70">
        <f>COUNTIF($C$18:$D$26,L23)</f>
        <v>0</v>
      </c>
      <c r="R23" s="192">
        <f ca="1">SUMIF($C$18:$D$26,L23,$J$18:$J$26)</f>
        <v>0</v>
      </c>
      <c r="S23" s="83">
        <f t="shared" si="4"/>
        <v>0</v>
      </c>
      <c r="T23" s="192">
        <f ca="1">SUMIF($C$18:$D$26,L23,$G$18:$G$26)</f>
        <v>0</v>
      </c>
      <c r="U23" s="191">
        <f>IF(Q23=0,0,(SUMIF($C$18:$D$26,L23,$H$18:$H$26))/Q23)</f>
        <v>0</v>
      </c>
      <c r="V23" s="85">
        <f t="shared" ca="1" si="7"/>
        <v>0</v>
      </c>
      <c r="W23" s="69"/>
    </row>
    <row r="24" spans="1:32" ht="27.45" hidden="1" customHeight="1" thickBot="1" x14ac:dyDescent="0.35">
      <c r="A24" s="169" t="str">
        <f>'Manufacturing-Testing-Other'!AA18</f>
        <v/>
      </c>
      <c r="B24" s="171" t="str">
        <f t="shared" si="8"/>
        <v/>
      </c>
      <c r="C24" s="625" t="str">
        <f>IF(A24="","",Dispensing!Z38)</f>
        <v/>
      </c>
      <c r="D24" s="514"/>
      <c r="E24" s="151"/>
      <c r="F24" s="184"/>
      <c r="G24" s="182" t="str">
        <f>IF(A24="","",Dispensing!Z3)</f>
        <v/>
      </c>
      <c r="H24" s="183" t="str">
        <f>IF(A24="","",Dispensing!Z2)</f>
        <v/>
      </c>
      <c r="I24" s="118" t="str">
        <f>IF(A24="","",Dispensing!Z4)</f>
        <v/>
      </c>
      <c r="J24" s="286" t="e">
        <f t="shared" si="9"/>
        <v>#VALUE!</v>
      </c>
      <c r="K24" s="159" t="s">
        <v>78</v>
      </c>
      <c r="L24" s="160" t="s">
        <v>200</v>
      </c>
      <c r="M24" s="161" t="s">
        <v>201</v>
      </c>
      <c r="N24" s="76">
        <v>412</v>
      </c>
      <c r="O24" s="72">
        <f t="shared" si="0"/>
        <v>682</v>
      </c>
      <c r="P24" s="358">
        <f t="shared" si="1"/>
        <v>750</v>
      </c>
      <c r="Q24" s="70">
        <f>COUNTIF($C$18:$D$26,L24)</f>
        <v>0</v>
      </c>
      <c r="R24" s="192">
        <f ca="1">SUMIF($C$18:$D$26,L24,$J$18:$J$26)</f>
        <v>0</v>
      </c>
      <c r="S24" s="83">
        <f t="shared" ref="S24" si="10">IF($X$1="",0,IF($X$1="Non-Industry",N24,IF($X$1="Industry",O24,P24)))</f>
        <v>0</v>
      </c>
      <c r="T24" s="192">
        <f ca="1">SUMIF($C$18:$D$26,L24,$G$18:$G$26)</f>
        <v>0</v>
      </c>
      <c r="U24" s="191">
        <f>IF(Q24=0,0,(SUMIF($C$18:$D$26,L24,$H$18:$H$26))/Q24)</f>
        <v>0</v>
      </c>
      <c r="V24" s="85">
        <f t="shared" ref="V24" ca="1" si="11">R24*S24</f>
        <v>0</v>
      </c>
      <c r="W24" s="69"/>
    </row>
    <row r="25" spans="1:32" ht="27.45" hidden="1" customHeight="1" thickBot="1" x14ac:dyDescent="0.35">
      <c r="A25" s="169" t="str">
        <f>'Manufacturing-Testing-Other'!AA19</f>
        <v/>
      </c>
      <c r="B25" s="172" t="str">
        <f t="shared" si="8"/>
        <v/>
      </c>
      <c r="C25" s="625" t="str">
        <f>IF(A25="","",Dispensing!AD38)</f>
        <v/>
      </c>
      <c r="D25" s="514"/>
      <c r="E25" s="151"/>
      <c r="F25" s="184"/>
      <c r="G25" s="182" t="str">
        <f>IF(A25="","",Dispensing!AD3)</f>
        <v/>
      </c>
      <c r="H25" s="183" t="str">
        <f>IF(A25="","",Dispensing!AD2)</f>
        <v/>
      </c>
      <c r="I25" s="118" t="str">
        <f>IF(A25="","",Dispensing!AD4)</f>
        <v/>
      </c>
      <c r="J25" s="286" t="e">
        <f t="shared" si="9"/>
        <v>#VALUE!</v>
      </c>
      <c r="K25" s="159"/>
      <c r="L25" s="160"/>
      <c r="M25" s="161"/>
      <c r="N25" s="68"/>
      <c r="O25" s="189"/>
      <c r="P25" s="189"/>
      <c r="Q25" s="70"/>
      <c r="R25" s="192"/>
      <c r="S25" s="83"/>
      <c r="T25" s="192"/>
      <c r="U25" s="192"/>
      <c r="V25" s="85"/>
      <c r="W25" s="69"/>
    </row>
    <row r="26" spans="1:32" ht="27.45" hidden="1" customHeight="1" thickBot="1" x14ac:dyDescent="0.35">
      <c r="A26" s="169" t="str">
        <f>'Manufacturing-Testing-Other'!AA20</f>
        <v/>
      </c>
      <c r="B26" s="173" t="str">
        <f t="shared" si="8"/>
        <v/>
      </c>
      <c r="C26" s="626" t="str">
        <f>IF(A26="","",Dispensing!AH38)</f>
        <v/>
      </c>
      <c r="D26" s="627"/>
      <c r="E26" s="152"/>
      <c r="F26" s="185"/>
      <c r="G26" s="182" t="str">
        <f>IF(A26="","",Dispensing!AH3)</f>
        <v/>
      </c>
      <c r="H26" s="183" t="str">
        <f>IF(A26="","",Dispensing!AH2)</f>
        <v/>
      </c>
      <c r="I26" s="118" t="str">
        <f>IF(A26="","",Dispensing!AH4)</f>
        <v/>
      </c>
      <c r="J26" s="286" t="e">
        <f t="shared" si="9"/>
        <v>#VALUE!</v>
      </c>
      <c r="K26" s="159"/>
      <c r="L26" s="160"/>
      <c r="M26" s="161"/>
      <c r="N26" s="68"/>
      <c r="O26" s="189"/>
      <c r="P26" s="189"/>
      <c r="Q26" s="70"/>
      <c r="R26" s="192"/>
      <c r="S26" s="83"/>
      <c r="T26" s="192"/>
      <c r="U26" s="192"/>
      <c r="V26" s="85"/>
      <c r="W26" s="69"/>
    </row>
    <row r="27" spans="1:32" ht="27.45" customHeight="1" thickBot="1" x14ac:dyDescent="0.4">
      <c r="A27" s="662" t="s">
        <v>157</v>
      </c>
      <c r="B27" s="662"/>
      <c r="C27" s="662"/>
      <c r="D27" s="662"/>
      <c r="E27" s="662"/>
      <c r="F27" s="662"/>
      <c r="G27" s="662"/>
      <c r="H27" s="662"/>
      <c r="I27" s="663"/>
      <c r="J27" s="174"/>
      <c r="K27" s="162" t="s">
        <v>134</v>
      </c>
      <c r="L27" s="163" t="s">
        <v>261</v>
      </c>
      <c r="M27" s="164" t="s">
        <v>263</v>
      </c>
      <c r="N27" s="68">
        <v>32</v>
      </c>
      <c r="O27" s="66">
        <f>ROUND(N27*1.655,0)</f>
        <v>53</v>
      </c>
      <c r="P27" s="66">
        <f>ROUND(N27*1.82,0)</f>
        <v>58</v>
      </c>
      <c r="Q27" s="70">
        <f>COUNTIF($A$29:$B$32,L27)</f>
        <v>0</v>
      </c>
      <c r="R27" s="71">
        <f ca="1">SUMIF($A$29:$B$32,L27,$D$29:$D$32)</f>
        <v>0</v>
      </c>
      <c r="S27" s="83">
        <f t="shared" si="4"/>
        <v>0</v>
      </c>
      <c r="T27" s="71"/>
      <c r="U27" s="71"/>
      <c r="V27" s="85">
        <f t="shared" ca="1" si="7"/>
        <v>0</v>
      </c>
      <c r="W27" s="69"/>
    </row>
    <row r="28" spans="1:32" ht="27.45" customHeight="1" thickBot="1" x14ac:dyDescent="0.35">
      <c r="A28" s="628" t="s">
        <v>143</v>
      </c>
      <c r="B28" s="629"/>
      <c r="C28" s="630"/>
      <c r="D28" s="63" t="s">
        <v>135</v>
      </c>
      <c r="E28" s="664" t="s">
        <v>144</v>
      </c>
      <c r="F28" s="665"/>
      <c r="G28" s="665"/>
      <c r="H28" s="665"/>
      <c r="I28" s="549"/>
      <c r="J28" s="174"/>
      <c r="K28" s="162" t="s">
        <v>134</v>
      </c>
      <c r="L28" s="163" t="s">
        <v>83</v>
      </c>
      <c r="M28" s="164" t="s">
        <v>113</v>
      </c>
      <c r="N28" s="68">
        <v>158</v>
      </c>
      <c r="O28" s="66">
        <f t="shared" ref="O28:O37" si="12">ROUND(N28*1.655,0)</f>
        <v>261</v>
      </c>
      <c r="P28" s="66">
        <f t="shared" ref="P28:P37" si="13">ROUND(N28*1.82,0)</f>
        <v>288</v>
      </c>
      <c r="Q28" s="70">
        <f>COUNTIF($A$29:$B$32,L28)</f>
        <v>0</v>
      </c>
      <c r="R28" s="71">
        <f ca="1">SUMIF($A$29:$B$32,L28,$D$29:$D$32)</f>
        <v>0</v>
      </c>
      <c r="S28" s="83">
        <f t="shared" si="4"/>
        <v>0</v>
      </c>
      <c r="T28" s="71"/>
      <c r="U28" s="71"/>
      <c r="V28" s="85">
        <f t="shared" ca="1" si="7"/>
        <v>0</v>
      </c>
      <c r="W28" s="69"/>
    </row>
    <row r="29" spans="1:32" ht="27.45" customHeight="1" thickBot="1" x14ac:dyDescent="0.35">
      <c r="A29" s="680"/>
      <c r="B29" s="681"/>
      <c r="C29" s="682"/>
      <c r="D29" s="116"/>
      <c r="E29" s="634"/>
      <c r="F29" s="635"/>
      <c r="G29" s="635"/>
      <c r="H29" s="635"/>
      <c r="I29" s="636"/>
      <c r="J29" s="174"/>
      <c r="K29" s="162" t="s">
        <v>134</v>
      </c>
      <c r="L29" s="163" t="s">
        <v>84</v>
      </c>
      <c r="M29" s="164" t="s">
        <v>114</v>
      </c>
      <c r="N29" s="68">
        <v>158</v>
      </c>
      <c r="O29" s="66">
        <f t="shared" si="12"/>
        <v>261</v>
      </c>
      <c r="P29" s="66">
        <f t="shared" si="13"/>
        <v>288</v>
      </c>
      <c r="Q29" s="70">
        <f>COUNTIF($A$29:$B$32,L29)</f>
        <v>0</v>
      </c>
      <c r="R29" s="71">
        <f ca="1">SUMIF($A$29:$B$32,L29,$D$29:$D$32)</f>
        <v>0</v>
      </c>
      <c r="S29" s="83">
        <f t="shared" si="4"/>
        <v>0</v>
      </c>
      <c r="T29" s="71"/>
      <c r="U29" s="71"/>
      <c r="V29" s="85">
        <f t="shared" ca="1" si="7"/>
        <v>0</v>
      </c>
      <c r="W29" s="69"/>
    </row>
    <row r="30" spans="1:32" ht="27.45" customHeight="1" thickBot="1" x14ac:dyDescent="0.35">
      <c r="A30" s="655"/>
      <c r="B30" s="654"/>
      <c r="C30" s="656"/>
      <c r="D30" s="117"/>
      <c r="E30" s="637"/>
      <c r="F30" s="638"/>
      <c r="G30" s="638"/>
      <c r="H30" s="638"/>
      <c r="I30" s="514"/>
      <c r="J30" s="174"/>
      <c r="K30" s="162" t="s">
        <v>134</v>
      </c>
      <c r="L30" s="163" t="s">
        <v>85</v>
      </c>
      <c r="M30" s="164" t="s">
        <v>115</v>
      </c>
      <c r="N30" s="68">
        <v>83</v>
      </c>
      <c r="O30" s="66">
        <f t="shared" si="12"/>
        <v>137</v>
      </c>
      <c r="P30" s="66">
        <f t="shared" si="13"/>
        <v>151</v>
      </c>
      <c r="Q30" s="70">
        <f>COUNTIF($A$29:$B$32,L30)</f>
        <v>0</v>
      </c>
      <c r="R30" s="71">
        <f ca="1">SUMIF($A$29:$B$32,L30,$D$29:$D$32)</f>
        <v>0</v>
      </c>
      <c r="S30" s="83">
        <f t="shared" si="4"/>
        <v>0</v>
      </c>
      <c r="T30" s="71"/>
      <c r="U30" s="71"/>
      <c r="V30" s="85">
        <f t="shared" ca="1" si="7"/>
        <v>0</v>
      </c>
      <c r="W30" s="69"/>
      <c r="X30" s="12"/>
    </row>
    <row r="31" spans="1:32" ht="27.45" customHeight="1" thickBot="1" x14ac:dyDescent="0.35">
      <c r="A31" s="655"/>
      <c r="B31" s="654"/>
      <c r="C31" s="656"/>
      <c r="D31" s="117"/>
      <c r="E31" s="637"/>
      <c r="F31" s="638"/>
      <c r="G31" s="638"/>
      <c r="H31" s="638"/>
      <c r="I31" s="514"/>
      <c r="J31" s="174"/>
      <c r="K31" s="162" t="s">
        <v>134</v>
      </c>
      <c r="L31" s="163" t="s">
        <v>178</v>
      </c>
      <c r="M31" s="164" t="s">
        <v>116</v>
      </c>
      <c r="N31" s="68">
        <v>141</v>
      </c>
      <c r="O31" s="66">
        <f t="shared" si="12"/>
        <v>233</v>
      </c>
      <c r="P31" s="66">
        <f t="shared" si="13"/>
        <v>257</v>
      </c>
      <c r="Q31" s="70">
        <f>COUNTIF($A$29:$B$32,L31)</f>
        <v>0</v>
      </c>
      <c r="R31" s="71">
        <f ca="1">SUMIF($A$29:$B$32,L31,$D$29:$D$32)</f>
        <v>0</v>
      </c>
      <c r="S31" s="83">
        <f t="shared" si="4"/>
        <v>0</v>
      </c>
      <c r="T31" s="71"/>
      <c r="U31" s="71"/>
      <c r="V31" s="85">
        <f t="shared" ca="1" si="7"/>
        <v>0</v>
      </c>
      <c r="W31" s="69"/>
    </row>
    <row r="32" spans="1:32" ht="27.45" customHeight="1" thickBot="1" x14ac:dyDescent="0.35">
      <c r="A32" s="622"/>
      <c r="B32" s="623"/>
      <c r="C32" s="624"/>
      <c r="D32" s="119"/>
      <c r="E32" s="666"/>
      <c r="F32" s="667"/>
      <c r="G32" s="667"/>
      <c r="H32" s="667"/>
      <c r="I32" s="516"/>
      <c r="J32" s="174"/>
      <c r="K32" s="162" t="s">
        <v>134</v>
      </c>
      <c r="L32" s="163" t="s">
        <v>86</v>
      </c>
      <c r="M32" s="164" t="s">
        <v>117</v>
      </c>
      <c r="N32" s="68">
        <v>75</v>
      </c>
      <c r="O32" s="66">
        <f t="shared" si="12"/>
        <v>124</v>
      </c>
      <c r="P32" s="66">
        <f t="shared" si="13"/>
        <v>137</v>
      </c>
      <c r="Q32" s="70">
        <f>COUNTIF($A$29:$B$32,L32)</f>
        <v>0</v>
      </c>
      <c r="R32" s="71">
        <f ca="1">SUMIF($A$29:$B$32,L32,$D$29:$D$32)</f>
        <v>0</v>
      </c>
      <c r="S32" s="83">
        <f t="shared" si="4"/>
        <v>0</v>
      </c>
      <c r="T32" s="70"/>
      <c r="U32" s="191"/>
      <c r="V32" s="85">
        <f t="shared" ca="1" si="7"/>
        <v>0</v>
      </c>
      <c r="W32" s="69"/>
    </row>
    <row r="33" spans="1:23" ht="27.45" hidden="1" customHeight="1" thickBot="1" x14ac:dyDescent="0.4">
      <c r="A33" s="659" t="s">
        <v>183</v>
      </c>
      <c r="B33" s="660"/>
      <c r="C33" s="660"/>
      <c r="D33" s="660"/>
      <c r="E33" s="661"/>
      <c r="F33" s="661"/>
      <c r="G33" s="661"/>
      <c r="H33" s="661"/>
      <c r="I33" s="421"/>
      <c r="J33" s="174"/>
      <c r="K33" s="162" t="s">
        <v>134</v>
      </c>
      <c r="L33" s="163" t="s">
        <v>179</v>
      </c>
      <c r="M33" s="164" t="s">
        <v>181</v>
      </c>
      <c r="N33" s="68">
        <v>245</v>
      </c>
      <c r="O33" s="66">
        <f t="shared" si="12"/>
        <v>405</v>
      </c>
      <c r="P33" s="66">
        <f t="shared" si="13"/>
        <v>446</v>
      </c>
      <c r="Q33" s="70">
        <f>COUNTIF($A$29:$B$32,L33)</f>
        <v>0</v>
      </c>
      <c r="R33" s="71">
        <f ca="1">SUMIF($A$29:$B$32,L33,$D$29:$D$32)</f>
        <v>0</v>
      </c>
      <c r="S33" s="83">
        <f t="shared" si="4"/>
        <v>0</v>
      </c>
      <c r="T33" s="71"/>
      <c r="U33" s="71"/>
      <c r="V33" s="85">
        <f ca="1">Q33*R33*S33</f>
        <v>0</v>
      </c>
      <c r="W33" s="69" t="s">
        <v>170</v>
      </c>
    </row>
    <row r="34" spans="1:23" ht="27.45" customHeight="1" thickBot="1" x14ac:dyDescent="0.35">
      <c r="A34" s="631" t="s">
        <v>141</v>
      </c>
      <c r="B34" s="632"/>
      <c r="C34" s="630"/>
      <c r="D34" s="644"/>
      <c r="E34" s="549"/>
      <c r="F34" s="549"/>
      <c r="G34" s="549"/>
      <c r="H34" s="549"/>
      <c r="I34" s="645"/>
      <c r="J34" s="174"/>
      <c r="K34" s="162" t="s">
        <v>134</v>
      </c>
      <c r="L34" s="163" t="s">
        <v>262</v>
      </c>
      <c r="M34" s="164" t="s">
        <v>264</v>
      </c>
      <c r="N34" s="68">
        <v>525</v>
      </c>
      <c r="O34" s="66">
        <f t="shared" si="12"/>
        <v>869</v>
      </c>
      <c r="P34" s="66">
        <f t="shared" si="13"/>
        <v>956</v>
      </c>
      <c r="Q34" s="70">
        <f>COUNTIF($A$29:$B$32,L34)</f>
        <v>0</v>
      </c>
      <c r="R34" s="71">
        <f ca="1">SUMIF($A$29:$B$32,L34,$D$29:$D$32)</f>
        <v>0</v>
      </c>
      <c r="S34" s="83">
        <f t="shared" si="4"/>
        <v>0</v>
      </c>
      <c r="T34" s="70"/>
      <c r="U34" s="71"/>
      <c r="V34" s="85">
        <f t="shared" ref="V34:V42" ca="1" si="14">Q34*R34*S34</f>
        <v>0</v>
      </c>
      <c r="W34" s="69"/>
    </row>
    <row r="35" spans="1:23" ht="27.45" customHeight="1" thickBot="1" x14ac:dyDescent="0.35">
      <c r="A35" s="625"/>
      <c r="B35" s="653"/>
      <c r="C35" s="633"/>
      <c r="D35" s="646"/>
      <c r="E35" s="410"/>
      <c r="F35" s="410"/>
      <c r="G35" s="410"/>
      <c r="H35" s="410"/>
      <c r="I35" s="647"/>
      <c r="J35" s="174"/>
      <c r="K35" s="162" t="s">
        <v>134</v>
      </c>
      <c r="L35" s="163" t="s">
        <v>87</v>
      </c>
      <c r="M35" s="164" t="s">
        <v>118</v>
      </c>
      <c r="N35" s="68">
        <v>183</v>
      </c>
      <c r="O35" s="66">
        <f t="shared" si="12"/>
        <v>303</v>
      </c>
      <c r="P35" s="66">
        <f t="shared" si="13"/>
        <v>333</v>
      </c>
      <c r="Q35" s="70">
        <f>COUNTIF($A$29:$B$32,L35)</f>
        <v>0</v>
      </c>
      <c r="R35" s="192">
        <f ca="1">SUMIF($A$29:$B$32,L35,$D$29:$D$32)</f>
        <v>0</v>
      </c>
      <c r="S35" s="83">
        <f t="shared" si="4"/>
        <v>0</v>
      </c>
      <c r="T35" s="192"/>
      <c r="U35" s="191"/>
      <c r="V35" s="85">
        <f t="shared" ca="1" si="14"/>
        <v>0</v>
      </c>
    </row>
    <row r="36" spans="1:23" ht="27.45" customHeight="1" thickBot="1" x14ac:dyDescent="0.35">
      <c r="A36" s="625"/>
      <c r="B36" s="653"/>
      <c r="C36" s="633"/>
      <c r="D36" s="646"/>
      <c r="E36" s="383"/>
      <c r="F36" s="383"/>
      <c r="G36" s="383"/>
      <c r="H36" s="383"/>
      <c r="I36" s="647"/>
      <c r="J36" s="174"/>
      <c r="K36" s="162" t="s">
        <v>134</v>
      </c>
      <c r="L36" s="163" t="s">
        <v>88</v>
      </c>
      <c r="M36" s="164" t="s">
        <v>119</v>
      </c>
      <c r="N36" s="68">
        <v>183</v>
      </c>
      <c r="O36" s="66">
        <f t="shared" si="12"/>
        <v>303</v>
      </c>
      <c r="P36" s="66">
        <f t="shared" si="13"/>
        <v>333</v>
      </c>
      <c r="Q36" s="70">
        <f>COUNTIF($A$29:$B$32,L36)</f>
        <v>0</v>
      </c>
      <c r="R36" s="191">
        <f ca="1">SUMIF($A$29:$B$32,L36,$D$29:$D$32)</f>
        <v>0</v>
      </c>
      <c r="S36" s="83">
        <f t="shared" si="4"/>
        <v>0</v>
      </c>
      <c r="T36" s="70"/>
      <c r="U36" s="191"/>
      <c r="V36" s="85">
        <f t="shared" ca="1" si="14"/>
        <v>0</v>
      </c>
    </row>
    <row r="37" spans="1:23" ht="27.45" customHeight="1" thickBot="1" x14ac:dyDescent="0.35">
      <c r="A37" s="651"/>
      <c r="B37" s="652"/>
      <c r="C37" s="643"/>
      <c r="D37" s="648"/>
      <c r="E37" s="649"/>
      <c r="F37" s="649"/>
      <c r="G37" s="649"/>
      <c r="H37" s="649"/>
      <c r="I37" s="650"/>
      <c r="J37" s="174"/>
      <c r="K37" s="162" t="s">
        <v>134</v>
      </c>
      <c r="L37" s="163" t="s">
        <v>180</v>
      </c>
      <c r="M37" s="164" t="s">
        <v>182</v>
      </c>
      <c r="N37" s="76">
        <v>1696</v>
      </c>
      <c r="O37" s="72">
        <f t="shared" si="12"/>
        <v>2807</v>
      </c>
      <c r="P37" s="358">
        <f t="shared" si="13"/>
        <v>3087</v>
      </c>
      <c r="Q37" s="73">
        <f>COUNTIF($A$29:$B$32,L37)</f>
        <v>0</v>
      </c>
      <c r="R37" s="74">
        <f ca="1">SUMIF($A$29:$B$32,L37,$D$29:$D$32)</f>
        <v>0</v>
      </c>
      <c r="S37" s="84">
        <f t="shared" si="4"/>
        <v>0</v>
      </c>
      <c r="T37" s="74"/>
      <c r="U37" s="74"/>
      <c r="V37" s="86">
        <f t="shared" ca="1" si="14"/>
        <v>0</v>
      </c>
    </row>
    <row r="38" spans="1:23" ht="27.45" customHeight="1" thickBot="1" x14ac:dyDescent="0.35">
      <c r="A38" s="3"/>
      <c r="B38" s="3"/>
      <c r="C38" s="3"/>
      <c r="D38" s="3"/>
      <c r="E38" s="3"/>
      <c r="F38" s="180"/>
      <c r="G38" s="3"/>
      <c r="H38" s="3"/>
      <c r="I38" s="3"/>
      <c r="K38" s="165" t="s">
        <v>82</v>
      </c>
      <c r="L38" s="166" t="s">
        <v>184</v>
      </c>
      <c r="M38" s="167" t="s">
        <v>259</v>
      </c>
      <c r="N38" s="68">
        <v>24.42</v>
      </c>
      <c r="O38" s="66">
        <v>32.97</v>
      </c>
      <c r="P38" s="66">
        <v>44.51</v>
      </c>
      <c r="Q38" s="70">
        <f>COUNTIF($A$35:$B$37,L38)</f>
        <v>0</v>
      </c>
      <c r="R38" s="71">
        <f>ROUND(IF(Q38&gt;0,('Protocol Cover Sheet'!$O$16/365)*12,0),0)</f>
        <v>0</v>
      </c>
      <c r="S38" s="83">
        <f t="shared" si="4"/>
        <v>0</v>
      </c>
      <c r="T38" s="71"/>
      <c r="U38" s="71"/>
      <c r="V38" s="85">
        <f t="shared" si="14"/>
        <v>0</v>
      </c>
    </row>
    <row r="39" spans="1:23" ht="27.45" customHeight="1" x14ac:dyDescent="0.3">
      <c r="F39" s="12"/>
      <c r="K39" s="193" t="s">
        <v>82</v>
      </c>
      <c r="L39" s="194" t="s">
        <v>89</v>
      </c>
      <c r="M39" s="195" t="s">
        <v>120</v>
      </c>
      <c r="N39" s="76">
        <v>60</v>
      </c>
      <c r="O39" s="72">
        <f>ROUND(N39*1.655,0)</f>
        <v>99</v>
      </c>
      <c r="P39" s="72">
        <f>ROUND(N39*1.82,0)</f>
        <v>109</v>
      </c>
      <c r="Q39" s="73">
        <f>COUNTIF($A$35:$B$37,L39)</f>
        <v>0</v>
      </c>
      <c r="R39" s="74">
        <f>ROUND(IF(Q39&gt;0,'Protocol Cover Sheet'!$O$16/7,0),0)</f>
        <v>0</v>
      </c>
      <c r="S39" s="84">
        <f t="shared" si="4"/>
        <v>0</v>
      </c>
      <c r="T39" s="74"/>
      <c r="U39" s="74"/>
      <c r="V39" s="86">
        <f t="shared" si="14"/>
        <v>0</v>
      </c>
    </row>
    <row r="40" spans="1:23" ht="27.45" customHeight="1" x14ac:dyDescent="0.3">
      <c r="F40" s="12"/>
      <c r="K40" s="196"/>
      <c r="L40" s="197"/>
      <c r="M40" s="197"/>
      <c r="N40" s="189"/>
      <c r="O40" s="66"/>
      <c r="P40" s="202"/>
      <c r="Q40" s="192"/>
      <c r="R40" s="201"/>
      <c r="S40" s="83"/>
      <c r="T40" s="71"/>
      <c r="U40" s="71"/>
      <c r="V40" s="85">
        <f t="shared" si="14"/>
        <v>0</v>
      </c>
    </row>
    <row r="41" spans="1:23" ht="27.45" customHeight="1" x14ac:dyDescent="0.3">
      <c r="F41" s="12"/>
      <c r="K41" s="196"/>
      <c r="L41" s="197"/>
      <c r="M41" s="197"/>
      <c r="N41" s="189"/>
      <c r="O41" s="66"/>
      <c r="P41" s="189"/>
      <c r="Q41" s="192"/>
      <c r="R41" s="191"/>
      <c r="S41" s="83"/>
      <c r="T41" s="71"/>
      <c r="U41" s="71"/>
      <c r="V41" s="85">
        <f t="shared" si="14"/>
        <v>0</v>
      </c>
    </row>
    <row r="42" spans="1:23" ht="27.45" customHeight="1" x14ac:dyDescent="0.3">
      <c r="F42" s="12"/>
      <c r="K42" s="196"/>
      <c r="L42" s="197"/>
      <c r="M42" s="197"/>
      <c r="N42" s="189"/>
      <c r="O42" s="189"/>
      <c r="P42" s="189"/>
      <c r="Q42" s="192"/>
      <c r="R42" s="192"/>
      <c r="S42" s="83"/>
      <c r="T42" s="192"/>
      <c r="U42" s="191"/>
      <c r="V42" s="86">
        <f t="shared" si="14"/>
        <v>0</v>
      </c>
    </row>
    <row r="43" spans="1:23" ht="27.45" customHeight="1" x14ac:dyDescent="0.3">
      <c r="F43" s="12"/>
      <c r="K43" s="196"/>
      <c r="L43" s="197"/>
      <c r="M43" s="197"/>
      <c r="N43" s="189"/>
      <c r="O43" s="66"/>
      <c r="P43" s="189"/>
      <c r="Q43" s="192"/>
      <c r="R43" s="191"/>
      <c r="S43" s="83"/>
      <c r="T43" s="71"/>
      <c r="U43" s="71"/>
      <c r="V43" s="85">
        <f>Q43*R43*S43</f>
        <v>0</v>
      </c>
    </row>
    <row r="44" spans="1:23" ht="27.45" customHeight="1" x14ac:dyDescent="0.3">
      <c r="F44" s="12"/>
      <c r="K44" s="196"/>
      <c r="L44" s="197"/>
      <c r="M44" s="197"/>
      <c r="N44" s="72"/>
      <c r="O44" s="72"/>
      <c r="P44" s="72"/>
      <c r="Q44" s="74"/>
      <c r="R44" s="74"/>
      <c r="S44" s="83"/>
      <c r="T44" s="74"/>
      <c r="U44" s="74"/>
      <c r="V44" s="86">
        <f>Q44*R44*S44</f>
        <v>0</v>
      </c>
    </row>
    <row r="45" spans="1:23" ht="27.45" customHeight="1" x14ac:dyDescent="0.3">
      <c r="K45" s="198"/>
      <c r="L45" s="199" t="s">
        <v>177</v>
      </c>
      <c r="M45" s="200"/>
      <c r="N45" s="66">
        <v>26</v>
      </c>
      <c r="O45" s="66">
        <v>43</v>
      </c>
      <c r="P45" s="66">
        <v>47</v>
      </c>
      <c r="Q45" s="71"/>
      <c r="R45" s="71">
        <f>SUMIF(I18:I26,"Yes",J18:J26)</f>
        <v>0</v>
      </c>
      <c r="S45" s="83">
        <f t="shared" si="4"/>
        <v>0</v>
      </c>
      <c r="T45" s="71"/>
      <c r="U45" s="71"/>
      <c r="V45" s="86">
        <f>IF(R45&gt;0,R45*S45,0)</f>
        <v>0</v>
      </c>
    </row>
    <row r="46" spans="1:23" ht="27.45" customHeight="1" x14ac:dyDescent="0.3">
      <c r="N46" s="66"/>
      <c r="O46" s="66"/>
      <c r="P46" s="66"/>
      <c r="Q46" s="71"/>
      <c r="R46" s="71"/>
      <c r="S46" s="71"/>
      <c r="T46" s="71"/>
      <c r="U46" s="71"/>
      <c r="V46" s="75"/>
    </row>
    <row r="47" spans="1:23" ht="27.45" customHeight="1" x14ac:dyDescent="0.3">
      <c r="N47" s="66"/>
      <c r="O47" s="66"/>
      <c r="P47" s="66"/>
      <c r="Q47" s="71"/>
      <c r="R47" s="71"/>
      <c r="S47" s="71"/>
      <c r="T47" s="71"/>
      <c r="U47" s="71"/>
      <c r="V47" s="75"/>
    </row>
    <row r="48" spans="1:23" ht="27.45" customHeight="1" x14ac:dyDescent="0.3">
      <c r="N48" s="66"/>
      <c r="O48" s="66"/>
      <c r="P48" s="66"/>
      <c r="Q48" s="71"/>
      <c r="R48" s="71"/>
      <c r="S48" s="71"/>
      <c r="T48" s="71"/>
      <c r="U48" s="71"/>
      <c r="V48" s="75"/>
    </row>
    <row r="49" spans="14:22" ht="27.45" customHeight="1" x14ac:dyDescent="0.3">
      <c r="N49" s="66"/>
      <c r="O49" s="66"/>
      <c r="P49" s="66"/>
      <c r="Q49" s="71"/>
      <c r="R49" s="71"/>
      <c r="S49" s="71"/>
      <c r="T49" s="71"/>
      <c r="U49" s="71"/>
      <c r="V49" s="75"/>
    </row>
    <row r="50" spans="14:22" ht="27.45" customHeight="1" x14ac:dyDescent="0.3">
      <c r="N50" s="66"/>
      <c r="O50" s="66"/>
      <c r="P50" s="66"/>
      <c r="Q50" s="71"/>
      <c r="R50" s="71"/>
      <c r="S50" s="71"/>
      <c r="T50" s="71"/>
      <c r="U50" s="71"/>
      <c r="V50" s="75"/>
    </row>
    <row r="51" spans="14:22" ht="27.45" customHeight="1" x14ac:dyDescent="0.3">
      <c r="N51" s="66"/>
      <c r="O51" s="66"/>
      <c r="P51" s="66"/>
      <c r="Q51" s="71"/>
      <c r="R51" s="71"/>
      <c r="S51" s="71"/>
      <c r="T51" s="71"/>
      <c r="U51" s="71"/>
      <c r="V51" s="75"/>
    </row>
    <row r="52" spans="14:22" ht="27.45" customHeight="1" x14ac:dyDescent="0.3">
      <c r="N52" s="66"/>
      <c r="O52" s="66"/>
      <c r="P52" s="66"/>
      <c r="Q52" s="71"/>
      <c r="R52" s="71"/>
      <c r="S52" s="71"/>
      <c r="T52" s="71"/>
      <c r="U52" s="71"/>
      <c r="V52" s="75"/>
    </row>
    <row r="53" spans="14:22" ht="27.45" customHeight="1" x14ac:dyDescent="0.3">
      <c r="N53" s="66"/>
      <c r="O53" s="66"/>
      <c r="P53" s="66"/>
      <c r="Q53" s="71"/>
      <c r="R53" s="71"/>
      <c r="S53" s="71"/>
      <c r="T53" s="71"/>
      <c r="U53" s="71"/>
      <c r="V53" s="75"/>
    </row>
    <row r="54" spans="14:22" ht="27.45" customHeight="1" x14ac:dyDescent="0.3">
      <c r="N54" s="66"/>
      <c r="O54" s="66"/>
      <c r="P54" s="66"/>
      <c r="Q54" s="71"/>
      <c r="R54" s="71"/>
      <c r="S54" s="71"/>
      <c r="T54" s="71"/>
      <c r="U54" s="71"/>
      <c r="V54" s="75"/>
    </row>
    <row r="55" spans="14:22" ht="27.45" customHeight="1" x14ac:dyDescent="0.3">
      <c r="N55" s="66"/>
      <c r="O55" s="66"/>
      <c r="P55" s="66"/>
      <c r="Q55" s="71"/>
      <c r="R55" s="71"/>
      <c r="S55" s="71"/>
      <c r="T55" s="71"/>
      <c r="U55" s="71"/>
      <c r="V55" s="75"/>
    </row>
    <row r="56" spans="14:22" ht="27.45" customHeight="1" x14ac:dyDescent="0.3">
      <c r="N56" s="66"/>
      <c r="O56" s="66"/>
      <c r="P56" s="66"/>
      <c r="Q56" s="71"/>
      <c r="R56" s="71"/>
      <c r="S56" s="71"/>
      <c r="T56" s="71"/>
      <c r="U56" s="71"/>
      <c r="V56" s="75"/>
    </row>
    <row r="57" spans="14:22" ht="27.45" customHeight="1" x14ac:dyDescent="0.3">
      <c r="N57" s="66"/>
      <c r="O57" s="66"/>
      <c r="P57" s="66"/>
      <c r="Q57" s="71"/>
      <c r="R57" s="71"/>
      <c r="S57" s="71"/>
      <c r="T57" s="71"/>
      <c r="U57" s="71"/>
      <c r="V57" s="75"/>
    </row>
    <row r="58" spans="14:22" ht="27.45" customHeight="1" x14ac:dyDescent="0.3">
      <c r="N58" s="66"/>
      <c r="O58" s="66"/>
      <c r="P58" s="66"/>
      <c r="Q58" s="71"/>
      <c r="R58" s="71"/>
      <c r="S58" s="71"/>
      <c r="T58" s="71"/>
      <c r="U58" s="71"/>
      <c r="V58" s="75"/>
    </row>
    <row r="59" spans="14:22" ht="27.45" customHeight="1" x14ac:dyDescent="0.3">
      <c r="N59" s="66"/>
      <c r="O59" s="66"/>
      <c r="P59" s="66"/>
      <c r="Q59" s="71"/>
      <c r="R59" s="71"/>
      <c r="S59" s="71"/>
      <c r="T59" s="71"/>
      <c r="U59" s="71"/>
      <c r="V59" s="75"/>
    </row>
    <row r="60" spans="14:22" ht="27.45" customHeight="1" x14ac:dyDescent="0.3">
      <c r="N60" s="66"/>
      <c r="O60" s="66"/>
      <c r="P60" s="66"/>
      <c r="Q60" s="71"/>
      <c r="R60" s="71"/>
      <c r="S60" s="71"/>
      <c r="T60" s="71"/>
      <c r="U60" s="71"/>
      <c r="V60" s="75"/>
    </row>
    <row r="61" spans="14:22" ht="27.45" customHeight="1" x14ac:dyDescent="0.3">
      <c r="N61" s="66"/>
      <c r="O61" s="66"/>
      <c r="P61" s="66"/>
      <c r="Q61" s="71"/>
      <c r="R61" s="71"/>
      <c r="S61" s="71"/>
      <c r="T61" s="71"/>
      <c r="U61" s="71"/>
      <c r="V61" s="75"/>
    </row>
    <row r="62" spans="14:22" ht="27.45" customHeight="1" x14ac:dyDescent="0.3">
      <c r="N62" s="66"/>
      <c r="O62" s="66"/>
      <c r="P62" s="66"/>
      <c r="Q62" s="71"/>
      <c r="R62" s="71"/>
      <c r="S62" s="71"/>
      <c r="T62" s="71"/>
      <c r="U62" s="71"/>
      <c r="V62" s="75"/>
    </row>
    <row r="63" spans="14:22" ht="27.45" customHeight="1" x14ac:dyDescent="0.3"/>
    <row r="64" spans="14:22" ht="27.45" customHeight="1" x14ac:dyDescent="0.3"/>
    <row r="65" ht="27.45" customHeight="1" x14ac:dyDescent="0.3"/>
    <row r="66" ht="27.45" customHeight="1" x14ac:dyDescent="0.3"/>
    <row r="67" ht="27.45" customHeight="1" x14ac:dyDescent="0.3"/>
    <row r="68" ht="27.45" customHeight="1" x14ac:dyDescent="0.3"/>
    <row r="69" ht="27.45" customHeight="1" x14ac:dyDescent="0.3"/>
    <row r="70" ht="27.45" customHeight="1" x14ac:dyDescent="0.3"/>
    <row r="71" ht="27.45" customHeight="1" x14ac:dyDescent="0.3"/>
    <row r="72" ht="27.45" customHeight="1" x14ac:dyDescent="0.3"/>
    <row r="73" ht="27.45" customHeight="1" x14ac:dyDescent="0.3"/>
    <row r="74" ht="27.45" customHeight="1" x14ac:dyDescent="0.3"/>
    <row r="75" ht="27.45" customHeight="1" x14ac:dyDescent="0.3"/>
    <row r="76" ht="27.45" customHeight="1" x14ac:dyDescent="0.3"/>
    <row r="77" ht="27.45" customHeight="1" x14ac:dyDescent="0.3"/>
    <row r="78" ht="27.45" customHeight="1" x14ac:dyDescent="0.3"/>
    <row r="79" ht="27.45" customHeight="1" x14ac:dyDescent="0.3"/>
    <row r="80" ht="27.45" customHeight="1" x14ac:dyDescent="0.3"/>
    <row r="81" ht="27.45" customHeight="1" x14ac:dyDescent="0.3"/>
    <row r="82" ht="27.45" customHeight="1" x14ac:dyDescent="0.3"/>
    <row r="83" ht="27.45" customHeight="1" x14ac:dyDescent="0.3"/>
  </sheetData>
  <sheetProtection algorithmName="SHA-512" hashValue="PI3r3AxNJXRU3wCg73tl3+Uzy8PI0Wxe3v0RPKg/S9+VZRCjNwBH9dQq+d5pTpKoqkwm+mImb7xFDN3oYwSf8w==" saltValue="wfcETehxVC8DHSco0h/uJQ==" spinCount="100000" sheet="1" selectLockedCells="1"/>
  <mergeCells count="42">
    <mergeCell ref="A15:B15"/>
    <mergeCell ref="D4:I15"/>
    <mergeCell ref="A11:B11"/>
    <mergeCell ref="A12:B12"/>
    <mergeCell ref="A13:B13"/>
    <mergeCell ref="A14:B14"/>
    <mergeCell ref="A1:I1"/>
    <mergeCell ref="A33:I33"/>
    <mergeCell ref="A27:I27"/>
    <mergeCell ref="E28:I28"/>
    <mergeCell ref="E29:I32"/>
    <mergeCell ref="A16:I16"/>
    <mergeCell ref="D3:I3"/>
    <mergeCell ref="A3:B3"/>
    <mergeCell ref="A2:H2"/>
    <mergeCell ref="C17:D17"/>
    <mergeCell ref="C18:D18"/>
    <mergeCell ref="C19:D19"/>
    <mergeCell ref="C20:D20"/>
    <mergeCell ref="A9:B9"/>
    <mergeCell ref="A10:B10"/>
    <mergeCell ref="A29:C29"/>
    <mergeCell ref="A4:B4"/>
    <mergeCell ref="D34:I37"/>
    <mergeCell ref="A37:C37"/>
    <mergeCell ref="A36:C36"/>
    <mergeCell ref="A35:C35"/>
    <mergeCell ref="A7:B7"/>
    <mergeCell ref="A8:B8"/>
    <mergeCell ref="A5:B5"/>
    <mergeCell ref="A6:B6"/>
    <mergeCell ref="C21:D21"/>
    <mergeCell ref="C22:D22"/>
    <mergeCell ref="C23:D23"/>
    <mergeCell ref="C24:D24"/>
    <mergeCell ref="A30:C30"/>
    <mergeCell ref="A31:C31"/>
    <mergeCell ref="A32:C32"/>
    <mergeCell ref="C25:D25"/>
    <mergeCell ref="C26:D26"/>
    <mergeCell ref="A28:C28"/>
    <mergeCell ref="A34:C34"/>
  </mergeCells>
  <dataValidations count="7">
    <dataValidation type="list" allowBlank="1" showInputMessage="1" showErrorMessage="1" sqref="B18:B26" xr:uid="{00000000-0002-0000-0400-000002000000}">
      <formula1>$W$1:$W$2</formula1>
    </dataValidation>
    <dataValidation type="list" allowBlank="1" showInputMessage="1" showErrorMessage="1" sqref="A29:B32" xr:uid="{00000000-0002-0000-0400-000003000000}">
      <formula1>$L$27:$L$37</formula1>
    </dataValidation>
    <dataValidation type="whole" operator="greaterThan" allowBlank="1" showInputMessage="1" showErrorMessage="1" error="Enter a number greater than 0" sqref="D29:D32" xr:uid="{00000000-0002-0000-0400-000004000000}">
      <formula1>0</formula1>
    </dataValidation>
    <dataValidation type="whole" allowBlank="1" showInputMessage="1" showErrorMessage="1" sqref="F18:F26" xr:uid="{00000000-0002-0000-0400-000008000000}">
      <formula1>0</formula1>
      <formula2>10000</formula2>
    </dataValidation>
    <dataValidation type="list" allowBlank="1" showInputMessage="1" showErrorMessage="1" sqref="A35:C37" xr:uid="{40F1AA46-F51B-456B-9469-F255E45D484B}">
      <formula1>$L$39</formula1>
    </dataValidation>
    <dataValidation type="whole" allowBlank="1" showInputMessage="1" showErrorMessage="1" error="Please enter whole numbers" sqref="C4:C15" xr:uid="{00000000-0002-0000-0400-000001000000}">
      <formula1>1</formula1>
      <formula2>99999</formula2>
    </dataValidation>
    <dataValidation type="list" allowBlank="1" showInputMessage="1" showErrorMessage="1" sqref="B4:B10 A4:A15" xr:uid="{1EA362D2-78E4-441A-982A-8DAA8772EC88}">
      <formula1>$L$2:$L$15</formula1>
    </dataValidation>
  </dataValidation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249977111117893"/>
  </sheetPr>
  <dimension ref="A1:R30"/>
  <sheetViews>
    <sheetView workbookViewId="0">
      <selection activeCell="A2" sqref="A2:B2"/>
    </sheetView>
  </sheetViews>
  <sheetFormatPr defaultColWidth="8.77734375" defaultRowHeight="14.4" x14ac:dyDescent="0.3"/>
  <cols>
    <col min="1" max="1" width="25" customWidth="1"/>
    <col min="2" max="2" width="15" style="89" customWidth="1"/>
    <col min="3" max="3" width="14.33203125" style="89" customWidth="1"/>
    <col min="4" max="4" width="13.77734375" customWidth="1"/>
    <col min="5" max="5" width="14.77734375" customWidth="1"/>
    <col min="12" max="14" width="0" hidden="1" customWidth="1"/>
    <col min="15" max="15" width="29.21875" hidden="1" customWidth="1"/>
    <col min="16" max="16" width="11.6640625" hidden="1" customWidth="1"/>
    <col min="17" max="17" width="7.5546875" hidden="1" customWidth="1"/>
    <col min="18" max="18" width="7.6640625" hidden="1" customWidth="1"/>
  </cols>
  <sheetData>
    <row r="1" spans="1:18" x14ac:dyDescent="0.3">
      <c r="A1" s="685" t="s">
        <v>139</v>
      </c>
      <c r="B1" s="686"/>
      <c r="C1" s="204" t="s">
        <v>23</v>
      </c>
      <c r="D1" s="205" t="s">
        <v>148</v>
      </c>
      <c r="E1" s="79" t="s">
        <v>147</v>
      </c>
      <c r="G1" s="688" t="s">
        <v>186</v>
      </c>
      <c r="H1" s="688"/>
      <c r="I1" s="688"/>
      <c r="J1" s="688"/>
      <c r="K1" s="688"/>
      <c r="O1" t="s">
        <v>308</v>
      </c>
      <c r="P1" t="s">
        <v>171</v>
      </c>
      <c r="Q1" t="s">
        <v>172</v>
      </c>
      <c r="R1" t="s">
        <v>173</v>
      </c>
    </row>
    <row r="2" spans="1:18" x14ac:dyDescent="0.3">
      <c r="A2" s="646" t="str">
        <f>'Manufacturing-Testing-Other'!Z2</f>
        <v/>
      </c>
      <c r="B2" s="684"/>
      <c r="C2" s="206"/>
      <c r="D2" s="207"/>
      <c r="E2" s="107" t="str">
        <f>IF(A2="","",C2*D2)</f>
        <v/>
      </c>
      <c r="G2" s="688"/>
      <c r="H2" s="688"/>
      <c r="I2" s="688"/>
      <c r="J2" s="688"/>
      <c r="K2" s="688"/>
      <c r="O2" t="s">
        <v>309</v>
      </c>
      <c r="P2">
        <v>26</v>
      </c>
      <c r="Q2">
        <v>36</v>
      </c>
      <c r="R2">
        <v>47</v>
      </c>
    </row>
    <row r="3" spans="1:18" x14ac:dyDescent="0.3">
      <c r="A3" s="646" t="str">
        <f>'Manufacturing-Testing-Other'!Z3</f>
        <v/>
      </c>
      <c r="B3" s="684"/>
      <c r="C3" s="208"/>
      <c r="D3" s="209"/>
      <c r="E3" s="106" t="str">
        <f>IF(A3="","",C3*D3)</f>
        <v/>
      </c>
      <c r="O3" t="s">
        <v>310</v>
      </c>
      <c r="P3">
        <v>140</v>
      </c>
      <c r="Q3">
        <v>196</v>
      </c>
      <c r="R3">
        <v>255</v>
      </c>
    </row>
    <row r="4" spans="1:18" x14ac:dyDescent="0.3">
      <c r="A4" s="646" t="str">
        <f>'Manufacturing-Testing-Other'!Z4</f>
        <v/>
      </c>
      <c r="B4" s="684"/>
      <c r="C4" s="208"/>
      <c r="D4" s="209"/>
      <c r="E4" s="106" t="str">
        <f t="shared" ref="E4:E20" si="0">IF(A4="","",C4*D4)</f>
        <v/>
      </c>
      <c r="O4" t="s">
        <v>311</v>
      </c>
      <c r="P4">
        <v>0</v>
      </c>
      <c r="Q4">
        <v>0</v>
      </c>
      <c r="R4">
        <v>0</v>
      </c>
    </row>
    <row r="5" spans="1:18" x14ac:dyDescent="0.3">
      <c r="A5" s="646" t="str">
        <f>'Manufacturing-Testing-Other'!Z5</f>
        <v/>
      </c>
      <c r="B5" s="684"/>
      <c r="C5" s="208"/>
      <c r="D5" s="209"/>
      <c r="E5" s="106" t="str">
        <f t="shared" si="0"/>
        <v/>
      </c>
      <c r="O5" t="s">
        <v>312</v>
      </c>
      <c r="P5">
        <v>24</v>
      </c>
      <c r="Q5">
        <v>34</v>
      </c>
      <c r="R5">
        <v>44</v>
      </c>
    </row>
    <row r="6" spans="1:18" x14ac:dyDescent="0.3">
      <c r="A6" s="646" t="str">
        <f>'Manufacturing-Testing-Other'!Z6</f>
        <v/>
      </c>
      <c r="B6" s="684"/>
      <c r="C6" s="208"/>
      <c r="D6" s="209"/>
      <c r="E6" s="106" t="str">
        <f t="shared" si="0"/>
        <v/>
      </c>
      <c r="O6" t="s">
        <v>327</v>
      </c>
      <c r="P6">
        <v>69</v>
      </c>
      <c r="Q6">
        <v>97</v>
      </c>
      <c r="R6">
        <v>126</v>
      </c>
    </row>
    <row r="7" spans="1:18" x14ac:dyDescent="0.3">
      <c r="A7" s="646" t="str">
        <f>'Manufacturing-Testing-Other'!Z7</f>
        <v/>
      </c>
      <c r="B7" s="684"/>
      <c r="C7" s="208"/>
      <c r="D7" s="209"/>
      <c r="E7" s="106" t="str">
        <f t="shared" si="0"/>
        <v/>
      </c>
      <c r="H7" s="12"/>
      <c r="O7" t="s">
        <v>313</v>
      </c>
      <c r="P7">
        <v>423</v>
      </c>
      <c r="Q7">
        <v>592</v>
      </c>
      <c r="R7">
        <v>770</v>
      </c>
    </row>
    <row r="8" spans="1:18" x14ac:dyDescent="0.3">
      <c r="A8" s="646" t="str">
        <f>'Manufacturing-Testing-Other'!Z8</f>
        <v/>
      </c>
      <c r="B8" s="684"/>
      <c r="C8" s="208"/>
      <c r="D8" s="209"/>
      <c r="E8" s="106" t="str">
        <f t="shared" si="0"/>
        <v/>
      </c>
    </row>
    <row r="9" spans="1:18" x14ac:dyDescent="0.3">
      <c r="A9" s="646" t="str">
        <f>'Manufacturing-Testing-Other'!Z9</f>
        <v/>
      </c>
      <c r="B9" s="684"/>
      <c r="C9" s="208"/>
      <c r="D9" s="209"/>
      <c r="E9" s="106" t="str">
        <f t="shared" si="0"/>
        <v/>
      </c>
    </row>
    <row r="10" spans="1:18" x14ac:dyDescent="0.3">
      <c r="A10" s="648" t="str">
        <f>'Manufacturing-Testing-Other'!Z10</f>
        <v/>
      </c>
      <c r="B10" s="649"/>
      <c r="C10" s="210"/>
      <c r="D10" s="211"/>
      <c r="E10" s="108" t="str">
        <f t="shared" si="0"/>
        <v/>
      </c>
    </row>
    <row r="11" spans="1:18" ht="14.4" customHeight="1" x14ac:dyDescent="0.3">
      <c r="A11" s="685" t="s">
        <v>260</v>
      </c>
      <c r="B11" s="686"/>
      <c r="C11" s="204" t="s">
        <v>23</v>
      </c>
      <c r="D11" s="205" t="s">
        <v>148</v>
      </c>
      <c r="E11" s="79" t="s">
        <v>147</v>
      </c>
    </row>
    <row r="12" spans="1:18" ht="14.4" customHeight="1" x14ac:dyDescent="0.3">
      <c r="A12" s="687"/>
      <c r="B12" s="549"/>
      <c r="C12" s="206"/>
      <c r="D12" s="207"/>
      <c r="E12" s="326" t="str">
        <f t="shared" si="0"/>
        <v/>
      </c>
    </row>
    <row r="13" spans="1:18" ht="14.4" customHeight="1" x14ac:dyDescent="0.3">
      <c r="A13" s="683"/>
      <c r="B13" s="684"/>
      <c r="C13" s="208"/>
      <c r="D13" s="209"/>
      <c r="E13" s="327" t="str">
        <f t="shared" si="0"/>
        <v/>
      </c>
    </row>
    <row r="14" spans="1:18" ht="14.4" customHeight="1" x14ac:dyDescent="0.3">
      <c r="A14" s="683"/>
      <c r="B14" s="684"/>
      <c r="C14" s="208"/>
      <c r="D14" s="209"/>
      <c r="E14" s="327" t="str">
        <f t="shared" si="0"/>
        <v/>
      </c>
      <c r="I14" s="12"/>
    </row>
    <row r="15" spans="1:18" ht="14.4" customHeight="1" x14ac:dyDescent="0.3">
      <c r="A15" s="683"/>
      <c r="B15" s="684"/>
      <c r="C15" s="208"/>
      <c r="D15" s="209"/>
      <c r="E15" s="327" t="str">
        <f t="shared" si="0"/>
        <v/>
      </c>
    </row>
    <row r="16" spans="1:18" ht="14.4" customHeight="1" x14ac:dyDescent="0.3">
      <c r="A16" s="683"/>
      <c r="B16" s="684"/>
      <c r="C16" s="208"/>
      <c r="D16" s="209"/>
      <c r="E16" s="327" t="str">
        <f t="shared" si="0"/>
        <v/>
      </c>
    </row>
    <row r="17" spans="1:5" ht="14.4" customHeight="1" x14ac:dyDescent="0.3">
      <c r="A17" s="683"/>
      <c r="B17" s="684"/>
      <c r="C17" s="208"/>
      <c r="D17" s="209"/>
      <c r="E17" s="327" t="str">
        <f t="shared" si="0"/>
        <v/>
      </c>
    </row>
    <row r="18" spans="1:5" ht="14.4" customHeight="1" x14ac:dyDescent="0.3">
      <c r="A18" s="683"/>
      <c r="B18" s="684"/>
      <c r="C18" s="208"/>
      <c r="D18" s="209"/>
      <c r="E18" s="327" t="str">
        <f t="shared" si="0"/>
        <v/>
      </c>
    </row>
    <row r="19" spans="1:5" ht="14.4" customHeight="1" x14ac:dyDescent="0.3">
      <c r="A19" s="683"/>
      <c r="B19" s="684"/>
      <c r="C19" s="208"/>
      <c r="D19" s="209"/>
      <c r="E19" s="327" t="str">
        <f t="shared" si="0"/>
        <v/>
      </c>
    </row>
    <row r="20" spans="1:5" ht="14.4" customHeight="1" x14ac:dyDescent="0.3">
      <c r="A20" s="683"/>
      <c r="B20" s="684"/>
      <c r="C20" s="210"/>
      <c r="D20" s="211"/>
      <c r="E20" s="328" t="str">
        <f t="shared" si="0"/>
        <v/>
      </c>
    </row>
    <row r="21" spans="1:5" ht="14.4" customHeight="1" x14ac:dyDescent="0.3">
      <c r="A21" s="685" t="s">
        <v>307</v>
      </c>
      <c r="B21" s="686"/>
      <c r="C21" s="204" t="s">
        <v>23</v>
      </c>
      <c r="D21" s="204" t="s">
        <v>148</v>
      </c>
      <c r="E21" s="79" t="s">
        <v>147</v>
      </c>
    </row>
    <row r="22" spans="1:5" ht="14.4" customHeight="1" x14ac:dyDescent="0.3">
      <c r="A22" s="687"/>
      <c r="B22" s="549"/>
      <c r="C22" s="206"/>
      <c r="D22" s="372" t="str">
        <f>IF(A22="","",IF('Estimate Details'!$C$1="Non-Industry",VLOOKUP('Drug &amp; Supply Prices'!A22,'Drug &amp; Supply Prices'!$O$2:$P$7,2,FALSE),IF('Estimate Details'!$C$1="Industry",VLOOKUP('Drug &amp; Supply Prices'!A22,'Drug &amp; Supply Prices'!$O$2:$Q$7,3,FALSE),IF('Estimate Details'!$C$1="External",VLOOKUP('Drug &amp; Supply Prices'!A22,'Drug &amp; Supply Prices'!$O$2:$R$7,4,FALSE),""))))</f>
        <v/>
      </c>
      <c r="E22" s="348" t="str">
        <f>IF(A22="","",C22*D22)</f>
        <v/>
      </c>
    </row>
    <row r="23" spans="1:5" ht="14.4" customHeight="1" x14ac:dyDescent="0.3">
      <c r="A23" s="683"/>
      <c r="B23" s="410"/>
      <c r="C23" s="347"/>
      <c r="D23" s="373" t="str">
        <f>IF(A23="","",IF('Estimate Details'!$C$1="Non-Industry",VLOOKUP('Drug &amp; Supply Prices'!A23,'Drug &amp; Supply Prices'!$O$2:$P$7,2,FALSE),IF('Estimate Details'!$C$1="Industry",VLOOKUP('Drug &amp; Supply Prices'!A23,'Drug &amp; Supply Prices'!$O$2:$Q$7,3,FALSE),IF('Estimate Details'!$C$1="External",VLOOKUP('Drug &amp; Supply Prices'!A23,'Drug &amp; Supply Prices'!$O$2:$R$7,4,FALSE),""))))</f>
        <v/>
      </c>
      <c r="E23" s="348" t="str">
        <f t="shared" ref="E23:E30" si="1">IF(A23="","",C23*D23)</f>
        <v/>
      </c>
    </row>
    <row r="24" spans="1:5" ht="14.4" customHeight="1" x14ac:dyDescent="0.3">
      <c r="A24" s="683"/>
      <c r="B24" s="684"/>
      <c r="C24" s="347"/>
      <c r="D24" s="370" t="str">
        <f>IF(A24="","",IF('Estimate Details'!$C$1="Non-Industry",VLOOKUP('Drug &amp; Supply Prices'!A24,'Drug &amp; Supply Prices'!$O$2:$P$7,2,FALSE),IF('Estimate Details'!$C$1="Industry",VLOOKUP('Drug &amp; Supply Prices'!A24,'Drug &amp; Supply Prices'!$O$2:$Q$7,3,FALSE),IF('Estimate Details'!$C$1="External",VLOOKUP('Drug &amp; Supply Prices'!A24,'Drug &amp; Supply Prices'!$O$2:$R$7,4,FALSE),""))))</f>
        <v/>
      </c>
      <c r="E24" s="348" t="str">
        <f t="shared" si="1"/>
        <v/>
      </c>
    </row>
    <row r="25" spans="1:5" ht="14.4" customHeight="1" x14ac:dyDescent="0.3">
      <c r="A25" s="683"/>
      <c r="B25" s="684"/>
      <c r="C25" s="347"/>
      <c r="D25" s="374" t="str">
        <f>IF(A25="","",IF('Estimate Details'!$C$1="Non-Industry",VLOOKUP('Drug &amp; Supply Prices'!A25,'Drug &amp; Supply Prices'!$O$2:$P$7,2,FALSE),IF('Estimate Details'!$C$1="Industry",VLOOKUP('Drug &amp; Supply Prices'!A25,'Drug &amp; Supply Prices'!$O$2:$Q$7,3,FALSE),IF('Estimate Details'!$C$1="External",VLOOKUP('Drug &amp; Supply Prices'!A25,'Drug &amp; Supply Prices'!$O$2:$R$7,4,FALSE),""))))</f>
        <v/>
      </c>
      <c r="E25" s="348" t="str">
        <f t="shared" si="1"/>
        <v/>
      </c>
    </row>
    <row r="26" spans="1:5" ht="14.4" customHeight="1" x14ac:dyDescent="0.3">
      <c r="A26" s="683"/>
      <c r="B26" s="684"/>
      <c r="C26" s="347"/>
      <c r="D26" s="374" t="str">
        <f>IF(A26="","",IF('Estimate Details'!$C$1="Non-Industry",VLOOKUP('Drug &amp; Supply Prices'!A26,'Drug &amp; Supply Prices'!$O$2:$P$7,2,FALSE),IF('Estimate Details'!$C$1="Industry",VLOOKUP('Drug &amp; Supply Prices'!A26,'Drug &amp; Supply Prices'!$O$2:$Q$7,3,FALSE),IF('Estimate Details'!$C$1="External",VLOOKUP('Drug &amp; Supply Prices'!A26,'Drug &amp; Supply Prices'!$O$2:$R$7,4,FALSE),""))))</f>
        <v/>
      </c>
      <c r="E26" s="348" t="str">
        <f t="shared" si="1"/>
        <v/>
      </c>
    </row>
    <row r="27" spans="1:5" ht="14.4" customHeight="1" x14ac:dyDescent="0.3">
      <c r="A27" s="683"/>
      <c r="B27" s="684"/>
      <c r="C27" s="347"/>
      <c r="D27" s="374" t="str">
        <f>IF(A27="","",IF('Estimate Details'!$C$1="Non-Industry",VLOOKUP('Drug &amp; Supply Prices'!A27,'Drug &amp; Supply Prices'!$O$2:$P$7,2,FALSE),IF('Estimate Details'!$C$1="Industry",VLOOKUP('Drug &amp; Supply Prices'!A27,'Drug &amp; Supply Prices'!$O$2:$Q$7,3,FALSE),IF('Estimate Details'!$C$1="External",VLOOKUP('Drug &amp; Supply Prices'!A27,'Drug &amp; Supply Prices'!$O$2:$R$7,4,FALSE),""))))</f>
        <v/>
      </c>
      <c r="E27" s="348" t="str">
        <f t="shared" si="1"/>
        <v/>
      </c>
    </row>
    <row r="28" spans="1:5" ht="14.4" customHeight="1" x14ac:dyDescent="0.3">
      <c r="A28" s="683"/>
      <c r="B28" s="684"/>
      <c r="C28" s="347"/>
      <c r="D28" s="374" t="str">
        <f>IF(A28="","",IF('Estimate Details'!$C$1="Non-Industry",VLOOKUP('Drug &amp; Supply Prices'!A28,'Drug &amp; Supply Prices'!$O$2:$P$7,2,FALSE),IF('Estimate Details'!$C$1="Industry",VLOOKUP('Drug &amp; Supply Prices'!A28,'Drug &amp; Supply Prices'!$O$2:$Q$7,3,FALSE),IF('Estimate Details'!$C$1="External",VLOOKUP('Drug &amp; Supply Prices'!A28,'Drug &amp; Supply Prices'!$O$2:$R$7,4,FALSE),""))))</f>
        <v/>
      </c>
      <c r="E28" s="348" t="str">
        <f t="shared" si="1"/>
        <v/>
      </c>
    </row>
    <row r="29" spans="1:5" ht="14.4" customHeight="1" x14ac:dyDescent="0.3">
      <c r="A29" s="683"/>
      <c r="B29" s="684"/>
      <c r="C29" s="347"/>
      <c r="D29" s="373" t="str">
        <f>IF(A29="","",IF('Estimate Details'!$C$1="Non-Industry",VLOOKUP('Drug &amp; Supply Prices'!A29,'Drug &amp; Supply Prices'!$O$2:$P$7,2,FALSE),IF('Estimate Details'!$C$1="Industry",VLOOKUP('Drug &amp; Supply Prices'!A29,'Drug &amp; Supply Prices'!$O$2:$Q$7,3,FALSE),IF('Estimate Details'!$C$1="External",VLOOKUP('Drug &amp; Supply Prices'!A29,'Drug &amp; Supply Prices'!$O$2:$R$7,4,FALSE),""))))</f>
        <v/>
      </c>
      <c r="E29" s="348" t="str">
        <f t="shared" si="1"/>
        <v/>
      </c>
    </row>
    <row r="30" spans="1:5" ht="14.4" customHeight="1" x14ac:dyDescent="0.3">
      <c r="A30" s="611"/>
      <c r="B30" s="649"/>
      <c r="C30" s="210"/>
      <c r="D30" s="371" t="str">
        <f>IF(A30="","",IF('Estimate Details'!$C$1="Non-Industry",VLOOKUP('Drug &amp; Supply Prices'!A30,'Drug &amp; Supply Prices'!$O$2:$P$7,2,FALSE),IF('Estimate Details'!$C$1="Industry",VLOOKUP('Drug &amp; Supply Prices'!A30,'Drug &amp; Supply Prices'!$O$2:$Q$7,3,FALSE),IF('Estimate Details'!$C$1="External",VLOOKUP('Drug &amp; Supply Prices'!A30,'Drug &amp; Supply Prices'!$O$2:$R$7,4,FALSE),""))))</f>
        <v/>
      </c>
      <c r="E30" s="349" t="str">
        <f t="shared" si="1"/>
        <v/>
      </c>
    </row>
  </sheetData>
  <sheetProtection algorithmName="SHA-512" hashValue="BJ2CFL9VD+rbDvKrdf3MYnegEsKL/x3AyJaHQhYSTBqZKiGcmFkPlwfHX1y3XNVFuSsHgrxek8Mym0m/RTEpZg==" saltValue="RaKEJ15vg50jwiJUsPfAiQ==" spinCount="100000" sheet="1" selectLockedCells="1"/>
  <mergeCells count="31">
    <mergeCell ref="A10:B10"/>
    <mergeCell ref="A12:B12"/>
    <mergeCell ref="A13:B13"/>
    <mergeCell ref="A14:B14"/>
    <mergeCell ref="A15:B15"/>
    <mergeCell ref="A5:B5"/>
    <mergeCell ref="A6:B6"/>
    <mergeCell ref="A7:B7"/>
    <mergeCell ref="A8:B8"/>
    <mergeCell ref="A9:B9"/>
    <mergeCell ref="G1:K2"/>
    <mergeCell ref="A1:B1"/>
    <mergeCell ref="A2:B2"/>
    <mergeCell ref="A3:B3"/>
    <mergeCell ref="A4:B4"/>
    <mergeCell ref="A27:B27"/>
    <mergeCell ref="A28:B28"/>
    <mergeCell ref="A29:B29"/>
    <mergeCell ref="A30:B30"/>
    <mergeCell ref="A11:B11"/>
    <mergeCell ref="A21:B21"/>
    <mergeCell ref="A22:B22"/>
    <mergeCell ref="A23:B23"/>
    <mergeCell ref="A24:B24"/>
    <mergeCell ref="A25:B25"/>
    <mergeCell ref="A26:B26"/>
    <mergeCell ref="A16:B16"/>
    <mergeCell ref="A17:B17"/>
    <mergeCell ref="A18:B18"/>
    <mergeCell ref="A19:B19"/>
    <mergeCell ref="A20:B20"/>
  </mergeCells>
  <dataValidations count="1">
    <dataValidation type="list" allowBlank="1" showInputMessage="1" showErrorMessage="1" sqref="A22:B30" xr:uid="{AF70871C-8A05-4D1F-969E-5C622D8E3AD7}">
      <formula1>$O$2:$O$7</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tint="-0.249977111117893"/>
  </sheetPr>
  <dimension ref="A1:Z100"/>
  <sheetViews>
    <sheetView topLeftCell="B1" workbookViewId="0">
      <selection activeCell="C1" sqref="C1:D1"/>
    </sheetView>
  </sheetViews>
  <sheetFormatPr defaultColWidth="8.77734375" defaultRowHeight="14.4" x14ac:dyDescent="0.3"/>
  <cols>
    <col min="1" max="1" width="5.33203125" style="144" hidden="1" customWidth="1"/>
    <col min="2" max="2" width="49" style="98" customWidth="1"/>
    <col min="3" max="3" width="8.44140625" style="100" customWidth="1"/>
    <col min="4" max="4" width="11.44140625" style="101" customWidth="1"/>
    <col min="5" max="5" width="12.6640625" style="8" customWidth="1"/>
    <col min="6" max="6" width="5.44140625" style="8" hidden="1" customWidth="1"/>
    <col min="7" max="7" width="3" hidden="1" customWidth="1"/>
    <col min="8" max="8" width="57.44140625" hidden="1" customWidth="1"/>
    <col min="9" max="9" width="6.77734375" style="89" hidden="1" customWidth="1"/>
    <col min="10" max="11" width="8.77734375" hidden="1" customWidth="1"/>
    <col min="12" max="12" width="3" customWidth="1"/>
    <col min="13" max="13" width="20.44140625" hidden="1" customWidth="1"/>
    <col min="14" max="16" width="8.77734375" style="89" hidden="1" customWidth="1"/>
    <col min="17" max="17" width="8.77734375" hidden="1" customWidth="1"/>
    <col min="18" max="18" width="19.44140625" style="89" hidden="1" customWidth="1"/>
    <col min="19" max="19" width="22.21875" bestFit="1" customWidth="1"/>
    <col min="20" max="21" width="13.88671875" customWidth="1"/>
  </cols>
  <sheetData>
    <row r="1" spans="1:26" x14ac:dyDescent="0.3">
      <c r="B1" s="112" t="s">
        <v>149</v>
      </c>
      <c r="C1" s="689"/>
      <c r="D1" s="690"/>
      <c r="G1">
        <f>IF(H1="",0,1)</f>
        <v>0</v>
      </c>
      <c r="H1" t="str">
        <f>IF(C1="","",IF('Start Calc'!F55&lt;1,"","Initiation Fee:"))</f>
        <v/>
      </c>
      <c r="I1" s="89" t="str">
        <f>IF(H1="","",1)</f>
        <v/>
      </c>
      <c r="J1" t="str">
        <f>IF(H1="","",E6)</f>
        <v/>
      </c>
      <c r="K1" t="str">
        <f>IF(H1="","",VLOOKUP(C1,'Start Calc'!L1:M3,2,FALSE))</f>
        <v/>
      </c>
      <c r="L1" s="110"/>
      <c r="M1" s="109">
        <f ca="1">MAX(G:G)</f>
        <v>0</v>
      </c>
      <c r="N1" s="94"/>
      <c r="O1" s="94"/>
      <c r="P1" s="95"/>
      <c r="R1" s="89" t="s">
        <v>171</v>
      </c>
      <c r="S1" s="692" t="s">
        <v>186</v>
      </c>
      <c r="T1" s="692"/>
      <c r="U1" s="692"/>
      <c r="V1" s="692"/>
      <c r="W1" s="692"/>
      <c r="X1" s="693"/>
      <c r="Y1" s="693"/>
      <c r="Z1" s="693"/>
    </row>
    <row r="2" spans="1:26" ht="13.8" customHeight="1" x14ac:dyDescent="0.3">
      <c r="B2" s="112"/>
      <c r="C2" s="690"/>
      <c r="D2" s="690"/>
      <c r="G2">
        <f>IF(H2="",0,(MAX(G1)+1))</f>
        <v>0</v>
      </c>
      <c r="H2" t="str">
        <f>IF(C1="","",IF('Main Calc'!Y1="","",CONCATENATE("Annual Protocol Maintenance ",'Main Calc'!X1,":")))</f>
        <v/>
      </c>
      <c r="I2" s="89" t="str">
        <f>IF(H2="","",'Protocol Cover Sheet'!Q16)</f>
        <v/>
      </c>
      <c r="J2" t="str">
        <f>IF(H2="","",'Main Calc'!Y1/I2)</f>
        <v/>
      </c>
      <c r="K2" t="str">
        <f>IF(H2="","",'Main Calc'!Y1)</f>
        <v/>
      </c>
      <c r="L2" s="110"/>
      <c r="M2" s="12"/>
      <c r="N2" s="95"/>
      <c r="O2" s="95"/>
      <c r="P2" s="95"/>
      <c r="R2" s="89" t="s">
        <v>172</v>
      </c>
      <c r="S2" s="692"/>
      <c r="T2" s="692"/>
      <c r="U2" s="692"/>
      <c r="V2" s="692"/>
      <c r="W2" s="692"/>
      <c r="X2" s="693"/>
      <c r="Y2" s="693"/>
      <c r="Z2" s="693"/>
    </row>
    <row r="3" spans="1:26" x14ac:dyDescent="0.3">
      <c r="C3" s="691" t="str">
        <f>IF(C1="","","Estimate Total:")</f>
        <v/>
      </c>
      <c r="D3" s="691"/>
      <c r="E3" s="99" t="str">
        <f>IF(C3="","",SUM(E6:E52))</f>
        <v/>
      </c>
      <c r="F3" s="99"/>
      <c r="G3">
        <f>IF(H3="",0,(MAX(G1:G2))+1)</f>
        <v>0</v>
      </c>
      <c r="H3" t="str">
        <f>IF(C1="","","Study Closure &amp; Archival Costs:")</f>
        <v/>
      </c>
      <c r="I3" s="89" t="str">
        <f>IF(H3="","",1)</f>
        <v/>
      </c>
      <c r="J3" t="str">
        <f>IF(H3="","",K3)</f>
        <v/>
      </c>
      <c r="K3" t="str">
        <f>IF(H3="","",IF(C1="Non-Industry",335,IF(C1="Industry",554,610)))</f>
        <v/>
      </c>
      <c r="L3" s="110"/>
      <c r="M3" s="12"/>
      <c r="N3" s="95"/>
      <c r="O3" s="95"/>
      <c r="P3" s="95"/>
      <c r="R3" s="89" t="s">
        <v>173</v>
      </c>
    </row>
    <row r="4" spans="1:26" ht="13.2" customHeight="1" x14ac:dyDescent="0.3">
      <c r="G4">
        <f>IF(H4="",0,(MAX($G$1:G3)+1))</f>
        <v>0</v>
      </c>
      <c r="H4" t="str">
        <f>IF('Manufacturing-Testing-Other'!V2&gt;0,CONCATENATE('Manufacturing-Testing-Other'!K2,": ",'Manufacturing-Testing-Other'!L2),"")</f>
        <v/>
      </c>
      <c r="I4" s="89" t="str">
        <f>IF('Manufacturing-Testing-Other'!V2&gt;0,'Manufacturing-Testing-Other'!R2,"")</f>
        <v/>
      </c>
      <c r="J4" t="str">
        <f>IF('Manufacturing-Testing-Other'!V2&gt;0,'Manufacturing-Testing-Other'!S2,"")</f>
        <v/>
      </c>
      <c r="K4" t="str">
        <f>IF('Manufacturing-Testing-Other'!V2&gt;0,'Manufacturing-Testing-Other'!V2,"")</f>
        <v/>
      </c>
      <c r="L4" s="110"/>
      <c r="M4" s="12"/>
      <c r="N4" s="95"/>
      <c r="O4" s="95"/>
      <c r="P4" s="95"/>
      <c r="S4" s="341"/>
      <c r="T4" s="694" t="str">
        <f>IF(C1="","","Study Complexity Scores")</f>
        <v/>
      </c>
      <c r="U4" s="383"/>
    </row>
    <row r="5" spans="1:26" x14ac:dyDescent="0.3">
      <c r="B5" s="102" t="s">
        <v>145</v>
      </c>
      <c r="C5" s="103" t="s">
        <v>23</v>
      </c>
      <c r="D5" s="103" t="s">
        <v>146</v>
      </c>
      <c r="E5" s="103" t="s">
        <v>147</v>
      </c>
      <c r="F5" s="145"/>
      <c r="G5">
        <f>IF(H5="",0,(MAX($G$1:G4)+1))</f>
        <v>0</v>
      </c>
      <c r="H5" t="str">
        <f>IF('Manufacturing-Testing-Other'!V3&gt;0,CONCATENATE('Manufacturing-Testing-Other'!K3,": ",'Manufacturing-Testing-Other'!L3),"")</f>
        <v/>
      </c>
      <c r="I5" s="113" t="str">
        <f>IF('Manufacturing-Testing-Other'!V3&gt;0,'Manufacturing-Testing-Other'!R3,"")</f>
        <v/>
      </c>
      <c r="J5" t="str">
        <f>IF('Manufacturing-Testing-Other'!V3&gt;0,'Manufacturing-Testing-Other'!S3,"")</f>
        <v/>
      </c>
      <c r="K5" t="str">
        <f>IF('Manufacturing-Testing-Other'!V3&gt;0,'Manufacturing-Testing-Other'!V3,"")</f>
        <v/>
      </c>
      <c r="L5" s="110"/>
      <c r="M5" s="12"/>
      <c r="N5" s="95"/>
      <c r="O5" s="95"/>
      <c r="T5" s="11" t="str">
        <f>IF(T4="","","Initiation")</f>
        <v/>
      </c>
      <c r="U5" s="11" t="str">
        <f>IF(T4="","","Maintenance")</f>
        <v/>
      </c>
    </row>
    <row r="6" spans="1:26" ht="25.2" customHeight="1" x14ac:dyDescent="0.3">
      <c r="A6" s="144" t="str">
        <f ca="1">IF(M1&gt;0,1,"")</f>
        <v/>
      </c>
      <c r="B6" s="98" t="str">
        <f ca="1">IF(A6="","",VLOOKUP(A6,$G$1:$K$100,2,FALSE))</f>
        <v/>
      </c>
      <c r="C6" s="100" t="str">
        <f ca="1">IF(A6="","",VLOOKUP(A6,$G$1:$K$100,3,FALSE))</f>
        <v/>
      </c>
      <c r="D6" s="104" t="str">
        <f ca="1">IF(A6="","",VLOOKUP(A6,$G$1:$K$100,4,FALSE))</f>
        <v/>
      </c>
      <c r="E6" s="104" t="str">
        <f ca="1">IF(A6="","",VLOOKUP(A6,$G$1:$K$100,5,FALSE))</f>
        <v/>
      </c>
      <c r="F6" s="104"/>
      <c r="G6">
        <f>IF(H6="",0,(MAX($G$1:G5)+1))</f>
        <v>0</v>
      </c>
      <c r="H6" t="str">
        <f>IF('Manufacturing-Testing-Other'!V4&gt;0,CONCATENATE('Manufacturing-Testing-Other'!K4,": ",'Manufacturing-Testing-Other'!L4),"")</f>
        <v/>
      </c>
      <c r="I6" s="113" t="str">
        <f>IF('Manufacturing-Testing-Other'!V4&gt;0,'Manufacturing-Testing-Other'!R4,"")</f>
        <v/>
      </c>
      <c r="J6" t="str">
        <f>IF('Manufacturing-Testing-Other'!V4&gt;0,'Manufacturing-Testing-Other'!S4,"")</f>
        <v/>
      </c>
      <c r="K6" t="str">
        <f>IF('Manufacturing-Testing-Other'!V4&gt;0,'Manufacturing-Testing-Other'!V4,"")</f>
        <v/>
      </c>
      <c r="L6" s="110"/>
      <c r="M6" s="12"/>
      <c r="N6" s="95"/>
      <c r="O6" s="95"/>
      <c r="S6" s="325" t="str">
        <f>IF($T$4="","","Early Phase Studies")</f>
        <v/>
      </c>
      <c r="T6" s="343" t="str">
        <f>IF(S6="","",'Initiation &amp; Maintenance'!G26)</f>
        <v/>
      </c>
      <c r="U6" s="343" t="str">
        <f>IF(S6="","",'Initiation &amp; Maintenance'!H26)</f>
        <v/>
      </c>
    </row>
    <row r="7" spans="1:26" ht="25.2" customHeight="1" x14ac:dyDescent="0.3">
      <c r="A7" s="144" t="str">
        <f ca="1">IF(A6="","",IF($M$1&gt;=1+A6,A6+1,""))</f>
        <v/>
      </c>
      <c r="B7" s="98" t="str">
        <f t="shared" ref="B7:B70" ca="1" si="0">IF(A7="","",VLOOKUP(A7,$G$1:$K$100,2,FALSE))</f>
        <v/>
      </c>
      <c r="C7" s="100" t="str">
        <f t="shared" ref="C7:C52" ca="1" si="1">IF(A7="","",VLOOKUP(A7,$G$1:$K$100,3,FALSE))</f>
        <v/>
      </c>
      <c r="D7" s="104" t="str">
        <f t="shared" ref="D7:D52" ca="1" si="2">IF(A7="","",VLOOKUP(A7,$G$1:$K$100,4,FALSE))</f>
        <v/>
      </c>
      <c r="E7" s="104" t="str">
        <f t="shared" ref="E7:E52" ca="1" si="3">IF(A7="","",VLOOKUP(A7,$G$1:$K$100,5,FALSE))</f>
        <v/>
      </c>
      <c r="F7" s="104"/>
      <c r="G7">
        <f>IF(H7="",0,(MAX($G$1:G6)+1))</f>
        <v>0</v>
      </c>
      <c r="H7" t="str">
        <f>IF('Manufacturing-Testing-Other'!V5&gt;0,CONCATENATE('Manufacturing-Testing-Other'!K5,": ",'Manufacturing-Testing-Other'!L5),"")</f>
        <v/>
      </c>
      <c r="I7" s="113" t="str">
        <f>IF('Manufacturing-Testing-Other'!V5&gt;0,'Manufacturing-Testing-Other'!R5,"")</f>
        <v/>
      </c>
      <c r="J7" t="str">
        <f>IF('Manufacturing-Testing-Other'!V5&gt;0,'Manufacturing-Testing-Other'!S5,"")</f>
        <v/>
      </c>
      <c r="K7" t="str">
        <f>IF('Manufacturing-Testing-Other'!V5&gt;0,'Manufacturing-Testing-Other'!V5,"")</f>
        <v/>
      </c>
      <c r="L7" s="110"/>
      <c r="M7" s="12"/>
      <c r="N7" s="95"/>
      <c r="O7" s="95"/>
      <c r="S7" s="325" t="str">
        <f>IF($T$4="","","Complex IP Mgmt")</f>
        <v/>
      </c>
      <c r="T7" s="346" t="str">
        <f>IF(S7="","",'Initiation &amp; Maintenance'!G27+'Initiation &amp; Maintenance'!G28+'Initiation &amp; Maintenance'!G29+'Initiation &amp; Maintenance'!G30+'Initiation &amp; Maintenance'!G31)</f>
        <v/>
      </c>
      <c r="U7" s="346" t="str">
        <f>IF(S7="","",'Initiation &amp; Maintenance'!H27+'Initiation &amp; Maintenance'!H28+'Initiation &amp; Maintenance'!H29+'Initiation &amp; Maintenance'!H30+'Initiation &amp; Maintenance'!H31+'Initiation &amp; Maintenance'!O8)</f>
        <v/>
      </c>
    </row>
    <row r="8" spans="1:26" ht="25.2" customHeight="1" x14ac:dyDescent="0.3">
      <c r="A8" s="144" t="str">
        <f t="shared" ref="A8:A71" ca="1" si="4">IF(A7="","",IF($M$1&gt;=1+A7,A7+1,""))</f>
        <v/>
      </c>
      <c r="B8" s="98" t="str">
        <f t="shared" ca="1" si="0"/>
        <v/>
      </c>
      <c r="C8" s="100" t="str">
        <f t="shared" ca="1" si="1"/>
        <v/>
      </c>
      <c r="D8" s="104" t="str">
        <f t="shared" ca="1" si="2"/>
        <v/>
      </c>
      <c r="E8" s="104" t="str">
        <f t="shared" ca="1" si="3"/>
        <v/>
      </c>
      <c r="F8" s="104"/>
      <c r="G8">
        <f>IF(H8="",0,(MAX($G$1:G7)+1))</f>
        <v>0</v>
      </c>
      <c r="H8" t="str">
        <f>IF('Manufacturing-Testing-Other'!V6&gt;0,CONCATENATE('Manufacturing-Testing-Other'!K6,": ",'Manufacturing-Testing-Other'!L6),"")</f>
        <v/>
      </c>
      <c r="I8" s="113" t="str">
        <f>IF('Manufacturing-Testing-Other'!V6&gt;0,'Manufacturing-Testing-Other'!R6,"")</f>
        <v/>
      </c>
      <c r="J8" t="str">
        <f>IF('Manufacturing-Testing-Other'!V6&gt;0,'Manufacturing-Testing-Other'!S6,"")</f>
        <v/>
      </c>
      <c r="K8" t="str">
        <f>IF('Manufacturing-Testing-Other'!V6&gt;0,'Manufacturing-Testing-Other'!V6,"")</f>
        <v/>
      </c>
      <c r="L8" s="110"/>
      <c r="M8" s="12"/>
      <c r="N8" s="95"/>
      <c r="O8" s="95"/>
      <c r="S8" s="325" t="str">
        <f>IF($T$4="","","Complex Dispensing")</f>
        <v/>
      </c>
      <c r="T8" s="343" t="str">
        <f>IF(S8="","",'Initiation &amp; Maintenance'!O4)</f>
        <v/>
      </c>
      <c r="U8" s="343" t="str">
        <f>IF(S8="","",'Initiation &amp; Maintenance'!O4)</f>
        <v/>
      </c>
    </row>
    <row r="9" spans="1:26" ht="25.2" customHeight="1" x14ac:dyDescent="0.3">
      <c r="A9" s="144" t="str">
        <f t="shared" ca="1" si="4"/>
        <v/>
      </c>
      <c r="B9" s="98" t="str">
        <f t="shared" ca="1" si="0"/>
        <v/>
      </c>
      <c r="C9" s="100" t="str">
        <f t="shared" ca="1" si="1"/>
        <v/>
      </c>
      <c r="D9" s="104" t="str">
        <f t="shared" ca="1" si="2"/>
        <v/>
      </c>
      <c r="E9" s="104" t="str">
        <f t="shared" ca="1" si="3"/>
        <v/>
      </c>
      <c r="F9" s="105"/>
      <c r="G9">
        <f>IF(H9="",0,(MAX($G$1:G8)+1))</f>
        <v>0</v>
      </c>
      <c r="H9" t="str">
        <f>IF('Manufacturing-Testing-Other'!V7&gt;0,CONCATENATE('Manufacturing-Testing-Other'!K7,": ",'Manufacturing-Testing-Other'!L7),"")</f>
        <v/>
      </c>
      <c r="I9" s="113" t="str">
        <f>IF('Manufacturing-Testing-Other'!V7&gt;0,'Manufacturing-Testing-Other'!R7,"")</f>
        <v/>
      </c>
      <c r="J9" t="str">
        <f>IF('Manufacturing-Testing-Other'!V7&gt;0,'Manufacturing-Testing-Other'!S7,"")</f>
        <v/>
      </c>
      <c r="K9" t="str">
        <f>IF('Manufacturing-Testing-Other'!V7&gt;0,'Manufacturing-Testing-Other'!V7,"")</f>
        <v/>
      </c>
      <c r="L9" s="110"/>
      <c r="M9" s="12"/>
      <c r="N9" s="95"/>
      <c r="O9" s="95"/>
      <c r="P9" s="95"/>
      <c r="S9" s="325" t="str">
        <f>IF($T$4="","","Addl Documentation")</f>
        <v/>
      </c>
      <c r="T9" s="343" t="str">
        <f>IF(S9="","",'Initiation &amp; Maintenance'!N6+'Initiation &amp; Maintenance'!N7)</f>
        <v/>
      </c>
      <c r="U9" s="343" t="str">
        <f>IF(S9="","",'Initiation &amp; Maintenance'!O5+'Initiation &amp; Maintenance'!O6+'Initiation &amp; Maintenance'!O7)</f>
        <v/>
      </c>
    </row>
    <row r="10" spans="1:26" ht="25.2" customHeight="1" x14ac:dyDescent="0.3">
      <c r="A10" s="144" t="str">
        <f t="shared" ca="1" si="4"/>
        <v/>
      </c>
      <c r="B10" s="98" t="str">
        <f t="shared" ca="1" si="0"/>
        <v/>
      </c>
      <c r="C10" s="100" t="str">
        <f t="shared" ca="1" si="1"/>
        <v/>
      </c>
      <c r="D10" s="104" t="str">
        <f t="shared" ca="1" si="2"/>
        <v/>
      </c>
      <c r="E10" s="104" t="str">
        <f t="shared" ca="1" si="3"/>
        <v/>
      </c>
      <c r="F10" s="105"/>
      <c r="G10">
        <f>IF(H10="",0,(MAX($G$1:G9)+1))</f>
        <v>0</v>
      </c>
      <c r="H10" t="str">
        <f>IF('Manufacturing-Testing-Other'!V8&gt;0,CONCATENATE('Manufacturing-Testing-Other'!K8,": ",'Manufacturing-Testing-Other'!L8),"")</f>
        <v/>
      </c>
      <c r="I10" s="113" t="str">
        <f>IF('Manufacturing-Testing-Other'!V8&gt;0,'Manufacturing-Testing-Other'!R8,"")</f>
        <v/>
      </c>
      <c r="J10" t="str">
        <f>IF('Manufacturing-Testing-Other'!V8&gt;0,'Manufacturing-Testing-Other'!S8,"")</f>
        <v/>
      </c>
      <c r="K10" t="str">
        <f>IF('Manufacturing-Testing-Other'!V8&gt;0,'Manufacturing-Testing-Other'!V8,"")</f>
        <v/>
      </c>
      <c r="L10" s="92"/>
      <c r="M10" s="12"/>
      <c r="N10" s="95"/>
      <c r="O10" s="95"/>
      <c r="S10" s="325" t="str">
        <f>IF($T$4="","","Nonstandard Monitoring")</f>
        <v/>
      </c>
      <c r="T10" s="343" t="str">
        <f>IF(S10="","",'Initiation &amp; Maintenance'!G33)</f>
        <v/>
      </c>
      <c r="U10" s="343" t="str">
        <f>IF(S10="","",'Initiation &amp; Maintenance'!H32+'Initiation &amp; Maintenance'!H33)</f>
        <v/>
      </c>
    </row>
    <row r="11" spans="1:26" ht="25.2" customHeight="1" x14ac:dyDescent="0.3">
      <c r="A11" s="144" t="str">
        <f t="shared" ca="1" si="4"/>
        <v/>
      </c>
      <c r="B11" s="98" t="str">
        <f t="shared" ca="1" si="0"/>
        <v/>
      </c>
      <c r="C11" s="100" t="str">
        <f t="shared" ca="1" si="1"/>
        <v/>
      </c>
      <c r="D11" s="104" t="str">
        <f t="shared" ca="1" si="2"/>
        <v/>
      </c>
      <c r="E11" s="104" t="str">
        <f t="shared" ca="1" si="3"/>
        <v/>
      </c>
      <c r="F11" s="105"/>
      <c r="G11">
        <f>IF(H11="",0,(MAX($G$1:G10)+1))</f>
        <v>0</v>
      </c>
      <c r="H11" t="str">
        <f>IF('Manufacturing-Testing-Other'!V9&gt;0,CONCATENATE('Manufacturing-Testing-Other'!K9,": ",'Manufacturing-Testing-Other'!L9),"")</f>
        <v/>
      </c>
      <c r="I11" s="244" t="str">
        <f>IF('Manufacturing-Testing-Other'!V9&gt;0,'Manufacturing-Testing-Other'!R9,"")</f>
        <v/>
      </c>
      <c r="J11" t="str">
        <f>IF('Manufacturing-Testing-Other'!V9&gt;0,'Manufacturing-Testing-Other'!S9,"")</f>
        <v/>
      </c>
      <c r="K11" t="str">
        <f>IF('Manufacturing-Testing-Other'!V9&gt;0,'Manufacturing-Testing-Other'!V9,"")</f>
        <v/>
      </c>
      <c r="L11" s="92"/>
      <c r="S11" s="345" t="str">
        <f>IF($T$4="","","Addl Temp Monitoring")</f>
        <v/>
      </c>
      <c r="T11" s="343" t="str">
        <f>IF(S11="","",0)</f>
        <v/>
      </c>
      <c r="U11" s="343" t="str" cm="1">
        <f t="array" ref="U11">IF(S11="","",IF(AND('Manufacturing-Testing-Other'!A35:C35="",'Manufacturing-Testing-Other'!A36:C36="",'Manufacturing-Testing-Other'!A37:C37=""),0,1))</f>
        <v/>
      </c>
    </row>
    <row r="12" spans="1:26" ht="25.2" customHeight="1" x14ac:dyDescent="0.3">
      <c r="A12" s="144" t="str">
        <f t="shared" ca="1" si="4"/>
        <v/>
      </c>
      <c r="B12" s="98" t="str">
        <f t="shared" ca="1" si="0"/>
        <v/>
      </c>
      <c r="C12" s="100" t="str">
        <f t="shared" ca="1" si="1"/>
        <v/>
      </c>
      <c r="D12" s="104" t="str">
        <f t="shared" ca="1" si="2"/>
        <v/>
      </c>
      <c r="E12" s="104" t="str">
        <f t="shared" ca="1" si="3"/>
        <v/>
      </c>
      <c r="F12" s="105"/>
      <c r="G12">
        <f>IF(H12="",0,(MAX($G$1:G11)+1))</f>
        <v>0</v>
      </c>
      <c r="H12" t="str">
        <f>IF('Manufacturing-Testing-Other'!V10&gt;0,CONCATENATE('Manufacturing-Testing-Other'!K10,": ",'Manufacturing-Testing-Other'!L10),"")</f>
        <v/>
      </c>
      <c r="I12" s="244" t="str">
        <f>IF('Manufacturing-Testing-Other'!V10&gt;0,'Manufacturing-Testing-Other'!R10,"")</f>
        <v/>
      </c>
      <c r="J12" t="str">
        <f>IF('Manufacturing-Testing-Other'!V10&gt;0,'Manufacturing-Testing-Other'!S10,"")</f>
        <v/>
      </c>
      <c r="K12" t="str">
        <f>IF('Manufacturing-Testing-Other'!V10&gt;0,'Manufacturing-Testing-Other'!V10,"")</f>
        <v/>
      </c>
      <c r="L12" s="92"/>
      <c r="S12" s="325" t="str">
        <f>IF($T$4="","","Site Specific")</f>
        <v/>
      </c>
      <c r="T12" s="346" t="str">
        <f>IF(S12="","",'Initiation &amp; Maintenance'!G13+'Initiation &amp; Maintenance'!G34+'Initiation &amp; Maintenance'!G35+'Initiation &amp; Maintenance'!G36+'Initiation &amp; Maintenance'!G37)</f>
        <v/>
      </c>
      <c r="U12" s="346" t="str">
        <f>IF(S12="","",'Initiation &amp; Maintenance'!H34+'Initiation &amp; Maintenance'!H35+'Initiation &amp; Maintenance'!H36+'Initiation &amp; Maintenance'!H37)</f>
        <v/>
      </c>
    </row>
    <row r="13" spans="1:26" ht="25.2" customHeight="1" x14ac:dyDescent="0.3">
      <c r="A13" s="144" t="str">
        <f t="shared" ca="1" si="4"/>
        <v/>
      </c>
      <c r="B13" s="98" t="str">
        <f t="shared" ca="1" si="0"/>
        <v/>
      </c>
      <c r="C13" s="100" t="str">
        <f t="shared" ca="1" si="1"/>
        <v/>
      </c>
      <c r="D13" s="104" t="str">
        <f t="shared" ca="1" si="2"/>
        <v/>
      </c>
      <c r="E13" s="104" t="str">
        <f t="shared" ca="1" si="3"/>
        <v/>
      </c>
      <c r="F13" s="105"/>
      <c r="G13">
        <f>IF(H13="",0,(MAX($G$1:G12)+1))</f>
        <v>0</v>
      </c>
      <c r="H13" t="str">
        <f>IF('Manufacturing-Testing-Other'!V11&gt;0,CONCATENATE('Manufacturing-Testing-Other'!K11,": ",'Manufacturing-Testing-Other'!L11),"")</f>
        <v/>
      </c>
      <c r="I13" s="308" t="str">
        <f>IF('Manufacturing-Testing-Other'!V11&gt;0,'Manufacturing-Testing-Other'!R11,"")</f>
        <v/>
      </c>
      <c r="J13" t="str">
        <f>IF('Manufacturing-Testing-Other'!V11&gt;0,'Manufacturing-Testing-Other'!S11,"")</f>
        <v/>
      </c>
      <c r="K13" t="str">
        <f>IF('Manufacturing-Testing-Other'!V11&gt;0,'Manufacturing-Testing-Other'!V11,"")</f>
        <v/>
      </c>
      <c r="L13" s="92"/>
      <c r="S13" s="325"/>
      <c r="T13" s="343"/>
      <c r="U13" s="343"/>
    </row>
    <row r="14" spans="1:26" ht="25.2" customHeight="1" x14ac:dyDescent="0.3">
      <c r="A14" s="144" t="str">
        <f t="shared" ca="1" si="4"/>
        <v/>
      </c>
      <c r="B14" s="98" t="str">
        <f t="shared" ca="1" si="0"/>
        <v/>
      </c>
      <c r="C14" s="100" t="str">
        <f t="shared" ca="1" si="1"/>
        <v/>
      </c>
      <c r="D14" s="104" t="str">
        <f t="shared" ca="1" si="2"/>
        <v/>
      </c>
      <c r="E14" s="104" t="str">
        <f t="shared" ca="1" si="3"/>
        <v/>
      </c>
      <c r="F14" s="105"/>
      <c r="G14">
        <f>IF(H14="",0,(MAX($G$1:G13)+1))</f>
        <v>0</v>
      </c>
      <c r="H14" t="str">
        <f>IF('Manufacturing-Testing-Other'!V12&gt;0,CONCATENATE('Manufacturing-Testing-Other'!K12,": ",'Manufacturing-Testing-Other'!L12),"")</f>
        <v/>
      </c>
      <c r="I14" s="308" t="str">
        <f>IF('Manufacturing-Testing-Other'!V12&gt;0,'Manufacturing-Testing-Other'!R12,"")</f>
        <v/>
      </c>
      <c r="J14" t="str">
        <f>IF('Manufacturing-Testing-Other'!V12&gt;0,'Manufacturing-Testing-Other'!S12,"")</f>
        <v/>
      </c>
      <c r="K14" t="str">
        <f>IF('Manufacturing-Testing-Other'!V12&gt;0,'Manufacturing-Testing-Other'!V12,"")</f>
        <v/>
      </c>
      <c r="L14" s="92"/>
      <c r="S14" s="325" t="str">
        <f>IF($T$4="","","Total Score")</f>
        <v/>
      </c>
      <c r="T14" s="344" t="str">
        <f>IF(S14="","",SUM(T6:T13))</f>
        <v/>
      </c>
      <c r="U14" s="344" t="str">
        <f>IF(T14="","",SUM(U6:U13))</f>
        <v/>
      </c>
    </row>
    <row r="15" spans="1:26" ht="25.2" customHeight="1" x14ac:dyDescent="0.3">
      <c r="A15" s="144" t="str">
        <f t="shared" ca="1" si="4"/>
        <v/>
      </c>
      <c r="B15" s="98" t="str">
        <f t="shared" ca="1" si="0"/>
        <v/>
      </c>
      <c r="C15" s="100" t="str">
        <f t="shared" ca="1" si="1"/>
        <v/>
      </c>
      <c r="D15" s="104" t="str">
        <f t="shared" ca="1" si="2"/>
        <v/>
      </c>
      <c r="E15" s="104" t="str">
        <f t="shared" ca="1" si="3"/>
        <v/>
      </c>
      <c r="F15" s="105"/>
      <c r="G15">
        <f>IF(H15="",0,(MAX($G$1:G14)+1))</f>
        <v>0</v>
      </c>
      <c r="H15" t="str">
        <f>IF('Manufacturing-Testing-Other'!V13&gt;0,CONCATENATE('Manufacturing-Testing-Other'!K13,": ",'Manufacturing-Testing-Other'!L13),"")</f>
        <v/>
      </c>
      <c r="I15" s="308" t="str">
        <f>IF('Manufacturing-Testing-Other'!V13&gt;0,'Manufacturing-Testing-Other'!R13,"")</f>
        <v/>
      </c>
      <c r="J15" t="str">
        <f>IF('Manufacturing-Testing-Other'!V13&gt;0,'Manufacturing-Testing-Other'!S13,"")</f>
        <v/>
      </c>
      <c r="K15" t="str">
        <f>IF('Manufacturing-Testing-Other'!V13&gt;0,'Manufacturing-Testing-Other'!V13,"")</f>
        <v/>
      </c>
      <c r="L15" s="92"/>
      <c r="O15" s="95"/>
      <c r="S15" s="325"/>
      <c r="T15" s="344"/>
      <c r="U15" s="344"/>
    </row>
    <row r="16" spans="1:26" ht="25.2" customHeight="1" x14ac:dyDescent="0.3">
      <c r="A16" s="144" t="str">
        <f t="shared" ca="1" si="4"/>
        <v/>
      </c>
      <c r="B16" s="98" t="str">
        <f t="shared" ca="1" si="0"/>
        <v/>
      </c>
      <c r="C16" s="100" t="str">
        <f t="shared" ca="1" si="1"/>
        <v/>
      </c>
      <c r="D16" s="104" t="str">
        <f t="shared" ca="1" si="2"/>
        <v/>
      </c>
      <c r="E16" s="104" t="str">
        <f t="shared" ca="1" si="3"/>
        <v/>
      </c>
      <c r="F16" s="105"/>
      <c r="G16">
        <f>IF(H16="",0,(MAX($G$1:G15)+1))</f>
        <v>0</v>
      </c>
      <c r="H16" t="str">
        <f>IF('Manufacturing-Testing-Other'!V14&gt;0,CONCATENATE('Manufacturing-Testing-Other'!K14,": ",'Manufacturing-Testing-Other'!L14),"")</f>
        <v/>
      </c>
      <c r="I16" s="308" t="str">
        <f>IF('Manufacturing-Testing-Other'!V14&gt;0,'Manufacturing-Testing-Other'!R14,"")</f>
        <v/>
      </c>
      <c r="J16" t="str">
        <f>IF('Manufacturing-Testing-Other'!V14&gt;0,'Manufacturing-Testing-Other'!S14,"")</f>
        <v/>
      </c>
      <c r="K16" t="str">
        <f>IF('Manufacturing-Testing-Other'!V14&gt;0,'Manufacturing-Testing-Other'!V14,"")</f>
        <v/>
      </c>
      <c r="L16" s="92"/>
    </row>
    <row r="17" spans="1:12" ht="25.2" customHeight="1" x14ac:dyDescent="0.3">
      <c r="A17" s="144" t="str">
        <f t="shared" ca="1" si="4"/>
        <v/>
      </c>
      <c r="B17" s="98" t="str">
        <f t="shared" ca="1" si="0"/>
        <v/>
      </c>
      <c r="C17" s="100" t="str">
        <f t="shared" ca="1" si="1"/>
        <v/>
      </c>
      <c r="D17" s="104" t="str">
        <f t="shared" ca="1" si="2"/>
        <v/>
      </c>
      <c r="E17" s="104" t="str">
        <f t="shared" ca="1" si="3"/>
        <v/>
      </c>
      <c r="F17" s="105"/>
      <c r="G17">
        <f>IF(H17="",0,(MAX($G$1:G16)+1))</f>
        <v>0</v>
      </c>
      <c r="H17" t="str">
        <f>IF('Manufacturing-Testing-Other'!V15&gt;0,CONCATENATE('Manufacturing-Testing-Other'!K15,": ",'Manufacturing-Testing-Other'!L15),"")</f>
        <v/>
      </c>
      <c r="I17" s="308" t="str">
        <f>IF('Manufacturing-Testing-Other'!V15&gt;0,'Manufacturing-Testing-Other'!R15,"")</f>
        <v/>
      </c>
      <c r="J17" t="str">
        <f>IF('Manufacturing-Testing-Other'!V15&gt;0,'Manufacturing-Testing-Other'!S15,"")</f>
        <v/>
      </c>
      <c r="K17" t="str">
        <f>IF('Manufacturing-Testing-Other'!V15&gt;0,'Manufacturing-Testing-Other'!V15,"")</f>
        <v/>
      </c>
      <c r="L17" s="92"/>
    </row>
    <row r="18" spans="1:12" ht="25.2" customHeight="1" x14ac:dyDescent="0.3">
      <c r="A18" s="144" t="str">
        <f t="shared" ca="1" si="4"/>
        <v/>
      </c>
      <c r="B18" s="98" t="str">
        <f t="shared" ca="1" si="0"/>
        <v/>
      </c>
      <c r="C18" s="100" t="str">
        <f t="shared" ca="1" si="1"/>
        <v/>
      </c>
      <c r="D18" s="104" t="str">
        <f t="shared" ca="1" si="2"/>
        <v/>
      </c>
      <c r="E18" s="104" t="str">
        <f t="shared" ca="1" si="3"/>
        <v/>
      </c>
      <c r="F18" s="105"/>
      <c r="G18">
        <f>IF(H18="",0,(MAX($G$1:G17)+1))</f>
        <v>0</v>
      </c>
      <c r="H18" s="213" t="str">
        <f>IF($C$1="","",IF('Manufacturing-Testing-Other'!AC9="","",'Manufacturing-Testing-Other'!AC9))</f>
        <v/>
      </c>
      <c r="I18" s="214" t="str">
        <f>IF(H18="","",'Manufacturing-Testing-Other'!AD9)</f>
        <v/>
      </c>
      <c r="J18" s="213" t="str">
        <f>IF(H18="","",'Manufacturing-Testing-Other'!AE9)</f>
        <v/>
      </c>
      <c r="K18" s="213" t="str">
        <f>IF(H18="","",'Manufacturing-Testing-Other'!AF9)</f>
        <v/>
      </c>
      <c r="L18" s="92"/>
    </row>
    <row r="19" spans="1:12" ht="25.2" customHeight="1" x14ac:dyDescent="0.3">
      <c r="A19" s="144" t="str">
        <f t="shared" ca="1" si="4"/>
        <v/>
      </c>
      <c r="B19" s="98" t="str">
        <f t="shared" ca="1" si="0"/>
        <v/>
      </c>
      <c r="C19" s="100" t="str">
        <f t="shared" ca="1" si="1"/>
        <v/>
      </c>
      <c r="D19" s="104" t="str">
        <f t="shared" ca="1" si="2"/>
        <v/>
      </c>
      <c r="E19" s="104" t="str">
        <f t="shared" ca="1" si="3"/>
        <v/>
      </c>
      <c r="F19" s="105"/>
      <c r="G19">
        <f>IF(H19="",0,(MAX($G$1:G18)+1))</f>
        <v>0</v>
      </c>
      <c r="H19" s="213" t="str">
        <f>IF($C$1="","",IF('Manufacturing-Testing-Other'!AC10="","",'Manufacturing-Testing-Other'!AC10))</f>
        <v/>
      </c>
      <c r="I19" s="214" t="str">
        <f>IF(H19="","",'Manufacturing-Testing-Other'!AD10)</f>
        <v/>
      </c>
      <c r="J19" s="213" t="str">
        <f>IF(H19="","",'Manufacturing-Testing-Other'!AE10)</f>
        <v/>
      </c>
      <c r="K19" s="213" t="str">
        <f>IF(H19="","",'Manufacturing-Testing-Other'!AF10)</f>
        <v/>
      </c>
      <c r="L19" s="92"/>
    </row>
    <row r="20" spans="1:12" ht="25.2" customHeight="1" x14ac:dyDescent="0.3">
      <c r="A20" s="144" t="str">
        <f t="shared" ca="1" si="4"/>
        <v/>
      </c>
      <c r="B20" s="98" t="str">
        <f t="shared" ca="1" si="0"/>
        <v/>
      </c>
      <c r="C20" s="100" t="str">
        <f t="shared" ca="1" si="1"/>
        <v/>
      </c>
      <c r="D20" s="104" t="str">
        <f t="shared" ca="1" si="2"/>
        <v/>
      </c>
      <c r="E20" s="104" t="str">
        <f t="shared" ca="1" si="3"/>
        <v/>
      </c>
      <c r="F20" s="105"/>
      <c r="G20">
        <f>IF(H20="",0,(MAX($G$1:G19)+1))</f>
        <v>0</v>
      </c>
      <c r="H20" s="213" t="str">
        <f>IF($C$1="","",IF('Manufacturing-Testing-Other'!AC11="","",'Manufacturing-Testing-Other'!AC11))</f>
        <v/>
      </c>
      <c r="I20" s="214" t="str">
        <f>IF(H20="","",'Manufacturing-Testing-Other'!AD11)</f>
        <v/>
      </c>
      <c r="J20" s="213" t="str">
        <f>IF(H20="","",'Manufacturing-Testing-Other'!AE11)</f>
        <v/>
      </c>
      <c r="K20" s="213" t="str">
        <f>IF(H20="","",'Manufacturing-Testing-Other'!AF11)</f>
        <v/>
      </c>
      <c r="L20" s="92"/>
    </row>
    <row r="21" spans="1:12" ht="25.2" customHeight="1" x14ac:dyDescent="0.3">
      <c r="A21" s="144" t="str">
        <f t="shared" ca="1" si="4"/>
        <v/>
      </c>
      <c r="B21" s="98" t="str">
        <f t="shared" ca="1" si="0"/>
        <v/>
      </c>
      <c r="C21" s="100" t="str">
        <f t="shared" ca="1" si="1"/>
        <v/>
      </c>
      <c r="D21" s="104" t="str">
        <f t="shared" ca="1" si="2"/>
        <v/>
      </c>
      <c r="E21" s="104" t="str">
        <f t="shared" ca="1" si="3"/>
        <v/>
      </c>
      <c r="F21" s="105"/>
      <c r="G21">
        <f>IF(H21="",0,(MAX($G$1:G20)+1))</f>
        <v>0</v>
      </c>
      <c r="H21" s="213" t="str">
        <f>IF($C$1="","",IF('Manufacturing-Testing-Other'!AC12="","",'Manufacturing-Testing-Other'!AC12))</f>
        <v/>
      </c>
      <c r="I21" s="214" t="str">
        <f>IF(H21="","",'Manufacturing-Testing-Other'!AD12)</f>
        <v/>
      </c>
      <c r="J21" s="213" t="str">
        <f>IF(H21="","",'Manufacturing-Testing-Other'!AE12)</f>
        <v/>
      </c>
      <c r="K21" s="213" t="str">
        <f>IF(H21="","",'Manufacturing-Testing-Other'!AF12)</f>
        <v/>
      </c>
      <c r="L21" s="92"/>
    </row>
    <row r="22" spans="1:12" ht="25.2" customHeight="1" x14ac:dyDescent="0.3">
      <c r="A22" s="144" t="str">
        <f t="shared" ca="1" si="4"/>
        <v/>
      </c>
      <c r="B22" s="98" t="str">
        <f t="shared" ca="1" si="0"/>
        <v/>
      </c>
      <c r="C22" s="100" t="str">
        <f t="shared" ca="1" si="1"/>
        <v/>
      </c>
      <c r="D22" s="104" t="str">
        <f t="shared" ca="1" si="2"/>
        <v/>
      </c>
      <c r="E22" s="104" t="str">
        <f t="shared" ca="1" si="3"/>
        <v/>
      </c>
      <c r="F22" s="105"/>
      <c r="G22">
        <f>IF(H22="",0,(MAX($G$1:G21)+1))</f>
        <v>0</v>
      </c>
      <c r="H22" s="213" t="str">
        <f>IF($C$1="","",IF('Manufacturing-Testing-Other'!AC13="","",'Manufacturing-Testing-Other'!AC13))</f>
        <v/>
      </c>
      <c r="I22" s="214" t="str">
        <f>IF(H22="","",'Manufacturing-Testing-Other'!AD13)</f>
        <v/>
      </c>
      <c r="J22" s="213" t="str">
        <f>IF(H22="","",'Manufacturing-Testing-Other'!AE13)</f>
        <v/>
      </c>
      <c r="K22" s="213" t="str">
        <f>IF(H22="","",'Manufacturing-Testing-Other'!AF13)</f>
        <v/>
      </c>
      <c r="L22" s="92"/>
    </row>
    <row r="23" spans="1:12" ht="25.2" customHeight="1" x14ac:dyDescent="0.3">
      <c r="A23" s="144" t="str">
        <f t="shared" ca="1" si="4"/>
        <v/>
      </c>
      <c r="B23" s="98" t="str">
        <f t="shared" ca="1" si="0"/>
        <v/>
      </c>
      <c r="C23" s="100" t="str">
        <f t="shared" ca="1" si="1"/>
        <v/>
      </c>
      <c r="D23" s="104" t="str">
        <f t="shared" ca="1" si="2"/>
        <v/>
      </c>
      <c r="E23" s="104" t="str">
        <f t="shared" ca="1" si="3"/>
        <v/>
      </c>
      <c r="F23" s="105"/>
      <c r="G23">
        <f>IF(H23="",0,(MAX($G$1:G22)+1))</f>
        <v>0</v>
      </c>
      <c r="H23" s="213" t="str">
        <f>IF($C$1="","",IF('Manufacturing-Testing-Other'!AC14="","",'Manufacturing-Testing-Other'!AC14))</f>
        <v/>
      </c>
      <c r="I23" s="214" t="str">
        <f>IF(H23="","",'Manufacturing-Testing-Other'!AD14)</f>
        <v/>
      </c>
      <c r="J23" s="213" t="str">
        <f>IF(H23="","",'Manufacturing-Testing-Other'!AE14)</f>
        <v/>
      </c>
      <c r="K23" s="213" t="str">
        <f>IF(H23="","",'Manufacturing-Testing-Other'!AF14)</f>
        <v/>
      </c>
      <c r="L23" s="92"/>
    </row>
    <row r="24" spans="1:12" ht="25.2" customHeight="1" x14ac:dyDescent="0.3">
      <c r="A24" s="144" t="str">
        <f t="shared" ca="1" si="4"/>
        <v/>
      </c>
      <c r="B24" s="98" t="str">
        <f t="shared" ca="1" si="0"/>
        <v/>
      </c>
      <c r="C24" s="100" t="str">
        <f t="shared" ca="1" si="1"/>
        <v/>
      </c>
      <c r="D24" s="104" t="str">
        <f t="shared" ca="1" si="2"/>
        <v/>
      </c>
      <c r="E24" s="104" t="str">
        <f t="shared" ca="1" si="3"/>
        <v/>
      </c>
      <c r="F24" s="105"/>
      <c r="G24">
        <f>IF(H24="",0,(MAX($G$1:G23)+1))</f>
        <v>0</v>
      </c>
      <c r="H24" s="213" t="str">
        <f>IF($C$1="","",IF('Manufacturing-Testing-Other'!AC15="","",'Manufacturing-Testing-Other'!AC15))</f>
        <v/>
      </c>
      <c r="I24" s="214" t="str">
        <f>IF(H24="","",'Manufacturing-Testing-Other'!AD15)</f>
        <v/>
      </c>
      <c r="J24" s="213" t="str">
        <f>IF(H24="","",'Manufacturing-Testing-Other'!AE15)</f>
        <v/>
      </c>
      <c r="K24" s="213" t="str">
        <f>IF(H24="","",'Manufacturing-Testing-Other'!AF15)</f>
        <v/>
      </c>
      <c r="L24" s="92"/>
    </row>
    <row r="25" spans="1:12" ht="25.2" customHeight="1" x14ac:dyDescent="0.3">
      <c r="A25" s="144" t="str">
        <f t="shared" ca="1" si="4"/>
        <v/>
      </c>
      <c r="B25" s="98" t="str">
        <f t="shared" ca="1" si="0"/>
        <v/>
      </c>
      <c r="C25" s="100" t="str">
        <f t="shared" ca="1" si="1"/>
        <v/>
      </c>
      <c r="D25" s="104" t="str">
        <f t="shared" ca="1" si="2"/>
        <v/>
      </c>
      <c r="E25" s="104" t="str">
        <f t="shared" ca="1" si="3"/>
        <v/>
      </c>
      <c r="F25" s="105"/>
      <c r="G25">
        <f>IF(H25="",0,(MAX($G$1:G24)+1))</f>
        <v>0</v>
      </c>
      <c r="H25" s="213" t="str">
        <f>IF($C$1="","",IF('Manufacturing-Testing-Other'!AC16="","",'Manufacturing-Testing-Other'!AC16))</f>
        <v/>
      </c>
      <c r="I25" s="214" t="str">
        <f>IF(H25="","",'Manufacturing-Testing-Other'!AD16)</f>
        <v/>
      </c>
      <c r="J25" s="213" t="str">
        <f>IF(H25="","",'Manufacturing-Testing-Other'!AE16)</f>
        <v/>
      </c>
      <c r="K25" s="213" t="str">
        <f>IF(H25="","",'Manufacturing-Testing-Other'!AF16)</f>
        <v/>
      </c>
      <c r="L25" s="92"/>
    </row>
    <row r="26" spans="1:12" ht="25.2" customHeight="1" x14ac:dyDescent="0.3">
      <c r="A26" s="144" t="str">
        <f t="shared" ca="1" si="4"/>
        <v/>
      </c>
      <c r="B26" s="98" t="str">
        <f t="shared" ca="1" si="0"/>
        <v/>
      </c>
      <c r="C26" s="100" t="str">
        <f t="shared" ca="1" si="1"/>
        <v/>
      </c>
      <c r="D26" s="104" t="str">
        <f t="shared" ca="1" si="2"/>
        <v/>
      </c>
      <c r="E26" s="104" t="str">
        <f t="shared" ca="1" si="3"/>
        <v/>
      </c>
      <c r="F26" s="105"/>
      <c r="G26">
        <f>IF(H26="",0,(MAX($G$1:G25)+1))</f>
        <v>0</v>
      </c>
      <c r="H26" s="213" t="str">
        <f>IF($C$1="","",IF('Manufacturing-Testing-Other'!AC17="","",'Manufacturing-Testing-Other'!AC17))</f>
        <v/>
      </c>
      <c r="I26" s="214" t="str">
        <f>IF(H26="","",'Manufacturing-Testing-Other'!AD17)</f>
        <v/>
      </c>
      <c r="J26" s="213" t="str">
        <f>IF(H26="","",'Manufacturing-Testing-Other'!AE17)</f>
        <v/>
      </c>
      <c r="K26" s="213" t="str">
        <f>IF(H26="","",'Manufacturing-Testing-Other'!AF17)</f>
        <v/>
      </c>
      <c r="L26" s="92"/>
    </row>
    <row r="27" spans="1:12" ht="25.2" customHeight="1" x14ac:dyDescent="0.3">
      <c r="A27" s="144" t="str">
        <f t="shared" ca="1" si="4"/>
        <v/>
      </c>
      <c r="B27" s="98" t="str">
        <f t="shared" ca="1" si="0"/>
        <v/>
      </c>
      <c r="C27" s="100" t="str">
        <f t="shared" ca="1" si="1"/>
        <v/>
      </c>
      <c r="D27" s="104" t="str">
        <f t="shared" ca="1" si="2"/>
        <v/>
      </c>
      <c r="E27" s="104" t="str">
        <f t="shared" ca="1" si="3"/>
        <v/>
      </c>
      <c r="F27" s="105"/>
      <c r="G27">
        <f ca="1">IF(H27="",0,(MAX($G$1:G26)+1))</f>
        <v>0</v>
      </c>
      <c r="H27" t="str">
        <f ca="1">IF('Manufacturing-Testing-Other'!V27&gt;0,CONCATENATE('Manufacturing-Testing-Other'!K27,": ",'Manufacturing-Testing-Other'!L27),"")</f>
        <v/>
      </c>
      <c r="I27" s="113" t="str">
        <f ca="1">IF('Manufacturing-Testing-Other'!V27&gt;0,'Manufacturing-Testing-Other'!R27,"")</f>
        <v/>
      </c>
      <c r="J27" t="str">
        <f ca="1">IF('Manufacturing-Testing-Other'!V27&gt;0,'Manufacturing-Testing-Other'!S27,"")</f>
        <v/>
      </c>
      <c r="K27" t="str">
        <f ca="1">IF('Manufacturing-Testing-Other'!V27&gt;0,'Manufacturing-Testing-Other'!V27,"")</f>
        <v/>
      </c>
      <c r="L27" s="92"/>
    </row>
    <row r="28" spans="1:12" ht="25.2" customHeight="1" x14ac:dyDescent="0.3">
      <c r="A28" s="144" t="str">
        <f t="shared" ca="1" si="4"/>
        <v/>
      </c>
      <c r="B28" s="98" t="str">
        <f t="shared" ca="1" si="0"/>
        <v/>
      </c>
      <c r="C28" s="100" t="str">
        <f t="shared" ca="1" si="1"/>
        <v/>
      </c>
      <c r="D28" s="104" t="str">
        <f t="shared" ca="1" si="2"/>
        <v/>
      </c>
      <c r="E28" s="104" t="str">
        <f t="shared" ca="1" si="3"/>
        <v/>
      </c>
      <c r="F28" s="105"/>
      <c r="G28">
        <f ca="1">IF(H28="",0,(MAX($G$1:G27)+1))</f>
        <v>0</v>
      </c>
      <c r="H28" t="str">
        <f ca="1">IF('Manufacturing-Testing-Other'!V28&gt;0,CONCATENATE('Manufacturing-Testing-Other'!K28,": ",'Manufacturing-Testing-Other'!L28),"")</f>
        <v/>
      </c>
      <c r="I28" s="308" t="str">
        <f ca="1">IF('Manufacturing-Testing-Other'!V28&gt;0,'Manufacturing-Testing-Other'!R28,"")</f>
        <v/>
      </c>
      <c r="J28" t="str">
        <f ca="1">IF('Manufacturing-Testing-Other'!V28&gt;0,'Manufacturing-Testing-Other'!S28,"")</f>
        <v/>
      </c>
      <c r="K28" t="str">
        <f ca="1">IF('Manufacturing-Testing-Other'!V28&gt;0,'Manufacturing-Testing-Other'!V28,"")</f>
        <v/>
      </c>
      <c r="L28" s="92"/>
    </row>
    <row r="29" spans="1:12" ht="25.2" customHeight="1" x14ac:dyDescent="0.3">
      <c r="A29" s="144" t="str">
        <f t="shared" ca="1" si="4"/>
        <v/>
      </c>
      <c r="B29" s="98" t="str">
        <f t="shared" ca="1" si="0"/>
        <v/>
      </c>
      <c r="C29" s="100" t="str">
        <f t="shared" ca="1" si="1"/>
        <v/>
      </c>
      <c r="D29" s="104" t="str">
        <f t="shared" ca="1" si="2"/>
        <v/>
      </c>
      <c r="E29" s="104" t="str">
        <f t="shared" ca="1" si="3"/>
        <v/>
      </c>
      <c r="F29" s="105"/>
      <c r="G29">
        <f ca="1">IF(H29="",0,(MAX($G$1:G28)+1))</f>
        <v>0</v>
      </c>
      <c r="H29" t="str">
        <f ca="1">IF('Manufacturing-Testing-Other'!V29&gt;0,CONCATENATE('Manufacturing-Testing-Other'!K29,": ",'Manufacturing-Testing-Other'!L29),"")</f>
        <v/>
      </c>
      <c r="I29" s="308" t="str">
        <f ca="1">IF('Manufacturing-Testing-Other'!V29&gt;0,'Manufacturing-Testing-Other'!R29,"")</f>
        <v/>
      </c>
      <c r="J29" t="str">
        <f ca="1">IF('Manufacturing-Testing-Other'!V29&gt;0,'Manufacturing-Testing-Other'!S29,"")</f>
        <v/>
      </c>
      <c r="K29" t="str">
        <f ca="1">IF('Manufacturing-Testing-Other'!V29&gt;0,'Manufacturing-Testing-Other'!V29,"")</f>
        <v/>
      </c>
      <c r="L29" s="92"/>
    </row>
    <row r="30" spans="1:12" ht="25.2" customHeight="1" x14ac:dyDescent="0.3">
      <c r="A30" s="144" t="str">
        <f t="shared" ca="1" si="4"/>
        <v/>
      </c>
      <c r="B30" s="98" t="str">
        <f t="shared" ca="1" si="0"/>
        <v/>
      </c>
      <c r="C30" s="100" t="str">
        <f t="shared" ca="1" si="1"/>
        <v/>
      </c>
      <c r="D30" s="104" t="str">
        <f t="shared" ca="1" si="2"/>
        <v/>
      </c>
      <c r="E30" s="104" t="str">
        <f t="shared" ca="1" si="3"/>
        <v/>
      </c>
      <c r="F30" s="105"/>
      <c r="G30">
        <f ca="1">IF(H30="",0,(MAX($G$1:G29)+1))</f>
        <v>0</v>
      </c>
      <c r="H30" t="str">
        <f ca="1">IF('Manufacturing-Testing-Other'!V30&gt;0,CONCATENATE('Manufacturing-Testing-Other'!K30,": ",'Manufacturing-Testing-Other'!L30),"")</f>
        <v/>
      </c>
      <c r="I30" s="308" t="str">
        <f ca="1">IF('Manufacturing-Testing-Other'!V30&gt;0,'Manufacturing-Testing-Other'!R30,"")</f>
        <v/>
      </c>
      <c r="J30" t="str">
        <f ca="1">IF('Manufacturing-Testing-Other'!V30&gt;0,'Manufacturing-Testing-Other'!S30,"")</f>
        <v/>
      </c>
      <c r="K30" t="str">
        <f ca="1">IF('Manufacturing-Testing-Other'!V30&gt;0,'Manufacturing-Testing-Other'!V30,"")</f>
        <v/>
      </c>
      <c r="L30" s="92"/>
    </row>
    <row r="31" spans="1:12" ht="25.2" customHeight="1" x14ac:dyDescent="0.3">
      <c r="A31" s="144" t="str">
        <f t="shared" ca="1" si="4"/>
        <v/>
      </c>
      <c r="B31" s="98" t="str">
        <f t="shared" ca="1" si="0"/>
        <v/>
      </c>
      <c r="C31" s="100" t="str">
        <f t="shared" ca="1" si="1"/>
        <v/>
      </c>
      <c r="D31" s="104" t="str">
        <f t="shared" ca="1" si="2"/>
        <v/>
      </c>
      <c r="E31" s="104" t="str">
        <f t="shared" ca="1" si="3"/>
        <v/>
      </c>
      <c r="F31" s="105"/>
      <c r="G31">
        <f ca="1">IF(H31="",0,(MAX($G$1:G30)+1))</f>
        <v>0</v>
      </c>
      <c r="H31" t="str">
        <f ca="1">IF('Manufacturing-Testing-Other'!V31&gt;0,CONCATENATE('Manufacturing-Testing-Other'!K31,": ",'Manufacturing-Testing-Other'!L31),"")</f>
        <v/>
      </c>
      <c r="I31" s="308" t="str">
        <f ca="1">IF('Manufacturing-Testing-Other'!V31&gt;0,'Manufacturing-Testing-Other'!R31,"")</f>
        <v/>
      </c>
      <c r="J31" t="str">
        <f ca="1">IF('Manufacturing-Testing-Other'!V31&gt;0,'Manufacturing-Testing-Other'!S31,"")</f>
        <v/>
      </c>
      <c r="K31" t="str">
        <f ca="1">IF('Manufacturing-Testing-Other'!V31&gt;0,'Manufacturing-Testing-Other'!V31,"")</f>
        <v/>
      </c>
      <c r="L31" s="92"/>
    </row>
    <row r="32" spans="1:12" ht="25.2" customHeight="1" x14ac:dyDescent="0.3">
      <c r="A32" s="144" t="str">
        <f t="shared" ca="1" si="4"/>
        <v/>
      </c>
      <c r="B32" s="98" t="str">
        <f t="shared" ca="1" si="0"/>
        <v/>
      </c>
      <c r="C32" s="100" t="str">
        <f t="shared" ca="1" si="1"/>
        <v/>
      </c>
      <c r="D32" s="104" t="str">
        <f t="shared" ca="1" si="2"/>
        <v/>
      </c>
      <c r="E32" s="104" t="str">
        <f t="shared" ca="1" si="3"/>
        <v/>
      </c>
      <c r="F32" s="105"/>
      <c r="G32">
        <f ca="1">IF(H32="",0,(MAX($G$1:G31)+1))</f>
        <v>0</v>
      </c>
      <c r="H32" t="str">
        <f ca="1">IF('Manufacturing-Testing-Other'!V32&gt;0,CONCATENATE('Manufacturing-Testing-Other'!K32,": ",'Manufacturing-Testing-Other'!L32),"")</f>
        <v/>
      </c>
      <c r="I32" s="308" t="str">
        <f ca="1">IF('Manufacturing-Testing-Other'!V32&gt;0,'Manufacturing-Testing-Other'!R32,"")</f>
        <v/>
      </c>
      <c r="J32" t="str">
        <f ca="1">IF('Manufacturing-Testing-Other'!V32&gt;0,'Manufacturing-Testing-Other'!S32,"")</f>
        <v/>
      </c>
      <c r="K32" t="str">
        <f ca="1">IF('Manufacturing-Testing-Other'!V32&gt;0,'Manufacturing-Testing-Other'!V32,"")</f>
        <v/>
      </c>
      <c r="L32" s="92"/>
    </row>
    <row r="33" spans="1:12" ht="25.2" customHeight="1" x14ac:dyDescent="0.3">
      <c r="A33" s="144" t="str">
        <f t="shared" ca="1" si="4"/>
        <v/>
      </c>
      <c r="B33" s="98" t="str">
        <f t="shared" ca="1" si="0"/>
        <v/>
      </c>
      <c r="C33" s="100" t="str">
        <f t="shared" ca="1" si="1"/>
        <v/>
      </c>
      <c r="D33" s="104" t="str">
        <f t="shared" ca="1" si="2"/>
        <v/>
      </c>
      <c r="E33" s="104" t="str">
        <f t="shared" ca="1" si="3"/>
        <v/>
      </c>
      <c r="F33" s="105"/>
      <c r="G33">
        <f ca="1">IF(H33="",0,(MAX($G$1:G32)+1))</f>
        <v>0</v>
      </c>
      <c r="H33" t="str">
        <f ca="1">IF('Manufacturing-Testing-Other'!V33&gt;0,CONCATENATE('Manufacturing-Testing-Other'!K33,": ",'Manufacturing-Testing-Other'!L33),"")</f>
        <v/>
      </c>
      <c r="I33" s="308" t="str">
        <f ca="1">IF('Manufacturing-Testing-Other'!V33&gt;0,'Manufacturing-Testing-Other'!R33,"")</f>
        <v/>
      </c>
      <c r="J33" t="str">
        <f ca="1">IF('Manufacturing-Testing-Other'!V33&gt;0,'Manufacturing-Testing-Other'!S33,"")</f>
        <v/>
      </c>
      <c r="K33" t="str">
        <f ca="1">IF('Manufacturing-Testing-Other'!V33&gt;0,'Manufacturing-Testing-Other'!V33,"")</f>
        <v/>
      </c>
      <c r="L33" s="92"/>
    </row>
    <row r="34" spans="1:12" ht="25.2" customHeight="1" x14ac:dyDescent="0.3">
      <c r="A34" s="144" t="str">
        <f t="shared" ca="1" si="4"/>
        <v/>
      </c>
      <c r="B34" s="98" t="str">
        <f t="shared" ca="1" si="0"/>
        <v/>
      </c>
      <c r="C34" s="100" t="str">
        <f t="shared" ca="1" si="1"/>
        <v/>
      </c>
      <c r="D34" s="104" t="str">
        <f t="shared" ca="1" si="2"/>
        <v/>
      </c>
      <c r="E34" s="104" t="str">
        <f t="shared" ca="1" si="3"/>
        <v/>
      </c>
      <c r="F34" s="105"/>
      <c r="G34">
        <f ca="1">IF(H34="",0,(MAX($G$1:G33)+1))</f>
        <v>0</v>
      </c>
      <c r="H34" t="str">
        <f ca="1">IF('Manufacturing-Testing-Other'!V34&gt;0,CONCATENATE('Manufacturing-Testing-Other'!K34,": ",'Manufacturing-Testing-Other'!L34),"")</f>
        <v/>
      </c>
      <c r="I34" s="308" t="str">
        <f ca="1">IF('Manufacturing-Testing-Other'!V34&gt;0,'Manufacturing-Testing-Other'!R34,"")</f>
        <v/>
      </c>
      <c r="J34" t="str">
        <f ca="1">IF('Manufacturing-Testing-Other'!V34&gt;0,'Manufacturing-Testing-Other'!S34,"")</f>
        <v/>
      </c>
      <c r="K34" t="str">
        <f ca="1">IF('Manufacturing-Testing-Other'!V34&gt;0,'Manufacturing-Testing-Other'!V34,"")</f>
        <v/>
      </c>
      <c r="L34" s="92"/>
    </row>
    <row r="35" spans="1:12" ht="25.2" customHeight="1" x14ac:dyDescent="0.3">
      <c r="A35" s="144" t="str">
        <f t="shared" ca="1" si="4"/>
        <v/>
      </c>
      <c r="B35" s="98" t="str">
        <f t="shared" ca="1" si="0"/>
        <v/>
      </c>
      <c r="C35" s="100" t="str">
        <f t="shared" ca="1" si="1"/>
        <v/>
      </c>
      <c r="D35" s="104" t="str">
        <f t="shared" ca="1" si="2"/>
        <v/>
      </c>
      <c r="E35" s="104" t="str">
        <f t="shared" ca="1" si="3"/>
        <v/>
      </c>
      <c r="F35" s="105"/>
      <c r="G35">
        <f ca="1">IF(H35="",0,(MAX($G$1:G34)+1))</f>
        <v>0</v>
      </c>
      <c r="H35" t="str">
        <f ca="1">IF('Manufacturing-Testing-Other'!V35&gt;0,CONCATENATE('Manufacturing-Testing-Other'!K35,": ",'Manufacturing-Testing-Other'!L35),"")</f>
        <v/>
      </c>
      <c r="I35" s="308" t="str">
        <f ca="1">IF('Manufacturing-Testing-Other'!V35&gt;0,'Manufacturing-Testing-Other'!R35,"")</f>
        <v/>
      </c>
      <c r="J35" t="str">
        <f ca="1">IF('Manufacturing-Testing-Other'!V35&gt;0,'Manufacturing-Testing-Other'!S35,"")</f>
        <v/>
      </c>
      <c r="K35" t="str">
        <f ca="1">IF('Manufacturing-Testing-Other'!V35&gt;0,'Manufacturing-Testing-Other'!V35,"")</f>
        <v/>
      </c>
      <c r="L35" s="92"/>
    </row>
    <row r="36" spans="1:12" ht="25.2" customHeight="1" x14ac:dyDescent="0.3">
      <c r="A36" s="144" t="str">
        <f t="shared" ca="1" si="4"/>
        <v/>
      </c>
      <c r="B36" s="98" t="str">
        <f t="shared" ca="1" si="0"/>
        <v/>
      </c>
      <c r="C36" s="100" t="str">
        <f t="shared" ca="1" si="1"/>
        <v/>
      </c>
      <c r="D36" s="104" t="str">
        <f t="shared" ca="1" si="2"/>
        <v/>
      </c>
      <c r="E36" s="104" t="str">
        <f t="shared" ca="1" si="3"/>
        <v/>
      </c>
      <c r="F36" s="105"/>
      <c r="G36">
        <f ca="1">IF(H36="",0,(MAX($G$1:G35)+1))</f>
        <v>0</v>
      </c>
      <c r="H36" t="str">
        <f ca="1">IF('Manufacturing-Testing-Other'!V36&gt;0,CONCATENATE('Manufacturing-Testing-Other'!K36,": ",'Manufacturing-Testing-Other'!L36),"")</f>
        <v/>
      </c>
      <c r="I36" s="308" t="str">
        <f ca="1">IF('Manufacturing-Testing-Other'!V36&gt;0,'Manufacturing-Testing-Other'!R36,"")</f>
        <v/>
      </c>
      <c r="J36" t="str">
        <f ca="1">IF('Manufacturing-Testing-Other'!V36&gt;0,'Manufacturing-Testing-Other'!S36,"")</f>
        <v/>
      </c>
      <c r="K36" t="str">
        <f ca="1">IF('Manufacturing-Testing-Other'!V36&gt;0,'Manufacturing-Testing-Other'!V36,"")</f>
        <v/>
      </c>
      <c r="L36" s="92"/>
    </row>
    <row r="37" spans="1:12" ht="25.2" customHeight="1" x14ac:dyDescent="0.3">
      <c r="A37" s="144" t="str">
        <f t="shared" ca="1" si="4"/>
        <v/>
      </c>
      <c r="B37" s="98" t="str">
        <f t="shared" ca="1" si="0"/>
        <v/>
      </c>
      <c r="C37" s="100" t="str">
        <f t="shared" ca="1" si="1"/>
        <v/>
      </c>
      <c r="D37" s="104" t="str">
        <f t="shared" ca="1" si="2"/>
        <v/>
      </c>
      <c r="E37" s="104" t="str">
        <f t="shared" ca="1" si="3"/>
        <v/>
      </c>
      <c r="F37" s="105"/>
      <c r="G37">
        <f ca="1">IF(H37="",0,(MAX($G$1:G36)+1))</f>
        <v>0</v>
      </c>
      <c r="H37" t="str">
        <f ca="1">IF('Manufacturing-Testing-Other'!V37&gt;0,CONCATENATE('Manufacturing-Testing-Other'!K37,": ",'Manufacturing-Testing-Other'!L37),"")</f>
        <v/>
      </c>
      <c r="I37" s="308" t="str">
        <f ca="1">IF('Manufacturing-Testing-Other'!V37&gt;0,'Manufacturing-Testing-Other'!R37,"")</f>
        <v/>
      </c>
      <c r="J37" t="str">
        <f ca="1">IF('Manufacturing-Testing-Other'!V37&gt;0,'Manufacturing-Testing-Other'!S37,"")</f>
        <v/>
      </c>
      <c r="K37" t="str">
        <f ca="1">IF('Manufacturing-Testing-Other'!V37&gt;0,'Manufacturing-Testing-Other'!V37,"")</f>
        <v/>
      </c>
      <c r="L37" s="92"/>
    </row>
    <row r="38" spans="1:12" ht="25.2" customHeight="1" x14ac:dyDescent="0.3">
      <c r="A38" s="144" t="str">
        <f t="shared" ca="1" si="4"/>
        <v/>
      </c>
      <c r="B38" s="98" t="str">
        <f t="shared" ca="1" si="0"/>
        <v/>
      </c>
      <c r="C38" s="100" t="str">
        <f t="shared" ca="1" si="1"/>
        <v/>
      </c>
      <c r="D38" s="104" t="str">
        <f t="shared" ca="1" si="2"/>
        <v/>
      </c>
      <c r="E38" s="104" t="str">
        <f t="shared" ca="1" si="3"/>
        <v/>
      </c>
      <c r="F38" s="105"/>
      <c r="G38">
        <f>IF(H38="",0,(MAX($G$1:G37)+1))</f>
        <v>0</v>
      </c>
      <c r="H38" t="str">
        <f>IF('Manufacturing-Testing-Other'!V38&gt;0,CONCATENATE('Manufacturing-Testing-Other'!K38,": ",'Manufacturing-Testing-Other'!L38),"")</f>
        <v/>
      </c>
      <c r="I38" s="308" t="str">
        <f>IF('Manufacturing-Testing-Other'!V38&gt;0,'Manufacturing-Testing-Other'!R38,"")</f>
        <v/>
      </c>
      <c r="J38" t="str">
        <f>IF('Manufacturing-Testing-Other'!V38&gt;0,'Manufacturing-Testing-Other'!S38,"")</f>
        <v/>
      </c>
      <c r="K38" t="str">
        <f>IF('Manufacturing-Testing-Other'!V38&gt;0,'Manufacturing-Testing-Other'!V38,"")</f>
        <v/>
      </c>
      <c r="L38" s="92"/>
    </row>
    <row r="39" spans="1:12" ht="25.2" customHeight="1" x14ac:dyDescent="0.3">
      <c r="A39" s="144" t="str">
        <f t="shared" ca="1" si="4"/>
        <v/>
      </c>
      <c r="B39" s="98" t="str">
        <f t="shared" ca="1" si="0"/>
        <v/>
      </c>
      <c r="C39" s="100" t="str">
        <f t="shared" ca="1" si="1"/>
        <v/>
      </c>
      <c r="D39" s="104" t="str">
        <f t="shared" ca="1" si="2"/>
        <v/>
      </c>
      <c r="E39" s="104" t="str">
        <f t="shared" ca="1" si="3"/>
        <v/>
      </c>
      <c r="F39" s="105"/>
      <c r="G39">
        <f>IF(H39="",0,(MAX($G$1:G38)+1))</f>
        <v>0</v>
      </c>
      <c r="H39" t="str">
        <f>IF('Manufacturing-Testing-Other'!V39&gt;0,CONCATENATE('Manufacturing-Testing-Other'!K39,": ",'Manufacturing-Testing-Other'!L39),"")</f>
        <v/>
      </c>
      <c r="I39" s="308" t="str">
        <f>IF('Manufacturing-Testing-Other'!V39&gt;0,'Manufacturing-Testing-Other'!R39,"")</f>
        <v/>
      </c>
      <c r="J39" t="str">
        <f>IF('Manufacturing-Testing-Other'!V39&gt;0,'Manufacturing-Testing-Other'!S39,"")</f>
        <v/>
      </c>
      <c r="K39" t="str">
        <f>IF('Manufacturing-Testing-Other'!V39&gt;0,'Manufacturing-Testing-Other'!V39,"")</f>
        <v/>
      </c>
      <c r="L39" s="92"/>
    </row>
    <row r="40" spans="1:12" ht="25.2" customHeight="1" x14ac:dyDescent="0.3">
      <c r="A40" s="144" t="str">
        <f t="shared" ca="1" si="4"/>
        <v/>
      </c>
      <c r="B40" s="98" t="str">
        <f t="shared" ca="1" si="0"/>
        <v/>
      </c>
      <c r="C40" s="100" t="str">
        <f t="shared" ca="1" si="1"/>
        <v/>
      </c>
      <c r="D40" s="104" t="str">
        <f t="shared" ca="1" si="2"/>
        <v/>
      </c>
      <c r="E40" s="104" t="str">
        <f t="shared" ca="1" si="3"/>
        <v/>
      </c>
      <c r="F40" s="105"/>
      <c r="G40">
        <f>IF(H40="",0,(MAX($G$1:G39)+1))</f>
        <v>0</v>
      </c>
      <c r="H40" t="str">
        <f>IF('Manufacturing-Testing-Other'!V40&gt;0,CONCATENATE('Manufacturing-Testing-Other'!K40,": ",'Manufacturing-Testing-Other'!L40),"")</f>
        <v/>
      </c>
      <c r="I40" s="308" t="str">
        <f>IF('Manufacturing-Testing-Other'!V40&gt;0,'Manufacturing-Testing-Other'!R40,"")</f>
        <v/>
      </c>
      <c r="J40" t="str">
        <f>IF('Manufacturing-Testing-Other'!V40&gt;0,'Manufacturing-Testing-Other'!S40,"")</f>
        <v/>
      </c>
      <c r="K40" t="str">
        <f>IF('Manufacturing-Testing-Other'!V40&gt;0,'Manufacturing-Testing-Other'!V40,"")</f>
        <v/>
      </c>
      <c r="L40" s="92"/>
    </row>
    <row r="41" spans="1:12" ht="25.2" customHeight="1" x14ac:dyDescent="0.3">
      <c r="A41" s="144" t="str">
        <f t="shared" ca="1" si="4"/>
        <v/>
      </c>
      <c r="B41" s="98" t="str">
        <f t="shared" ca="1" si="0"/>
        <v/>
      </c>
      <c r="C41" s="100" t="str">
        <f t="shared" ca="1" si="1"/>
        <v/>
      </c>
      <c r="D41" s="104" t="str">
        <f t="shared" ca="1" si="2"/>
        <v/>
      </c>
      <c r="E41" s="104" t="str">
        <f t="shared" ca="1" si="3"/>
        <v/>
      </c>
      <c r="F41" s="105"/>
      <c r="G41">
        <f>IF(H41="",0,(MAX($G$1:G40)+1))</f>
        <v>0</v>
      </c>
      <c r="H41" t="str">
        <f>IF('Manufacturing-Testing-Other'!V41&gt;0,CONCATENATE('Manufacturing-Testing-Other'!K41,": ",'Manufacturing-Testing-Other'!L41),"")</f>
        <v/>
      </c>
      <c r="I41" s="308" t="str">
        <f>IF('Manufacturing-Testing-Other'!V41&gt;0,'Manufacturing-Testing-Other'!R41,"")</f>
        <v/>
      </c>
      <c r="J41" t="str">
        <f>IF('Manufacturing-Testing-Other'!V41&gt;0,'Manufacturing-Testing-Other'!S41,"")</f>
        <v/>
      </c>
      <c r="K41" t="str">
        <f>IF('Manufacturing-Testing-Other'!V41&gt;0,'Manufacturing-Testing-Other'!V41,"")</f>
        <v/>
      </c>
      <c r="L41" s="92"/>
    </row>
    <row r="42" spans="1:12" ht="25.2" customHeight="1" x14ac:dyDescent="0.3">
      <c r="A42" s="144" t="str">
        <f t="shared" ca="1" si="4"/>
        <v/>
      </c>
      <c r="B42" s="98" t="str">
        <f t="shared" ca="1" si="0"/>
        <v/>
      </c>
      <c r="C42" s="100" t="str">
        <f t="shared" ca="1" si="1"/>
        <v/>
      </c>
      <c r="D42" s="104" t="str">
        <f t="shared" ca="1" si="2"/>
        <v/>
      </c>
      <c r="E42" s="104" t="str">
        <f t="shared" ca="1" si="3"/>
        <v/>
      </c>
      <c r="F42" s="105"/>
      <c r="G42">
        <f>IF(H42="",0,(MAX($G$1:G41)+1))</f>
        <v>0</v>
      </c>
      <c r="H42" t="str">
        <f>IF('Manufacturing-Testing-Other'!V42&gt;0,CONCATENATE('Manufacturing-Testing-Other'!K42,": ",'Manufacturing-Testing-Other'!L42),"")</f>
        <v/>
      </c>
      <c r="I42" s="308" t="str">
        <f>IF('Manufacturing-Testing-Other'!V42&gt;0,'Manufacturing-Testing-Other'!R42,"")</f>
        <v/>
      </c>
      <c r="J42" t="str">
        <f>IF('Manufacturing-Testing-Other'!V42&gt;0,'Manufacturing-Testing-Other'!S42,"")</f>
        <v/>
      </c>
      <c r="K42" t="str">
        <f>IF('Manufacturing-Testing-Other'!V42&gt;0,'Manufacturing-Testing-Other'!V42,"")</f>
        <v/>
      </c>
      <c r="L42" s="92"/>
    </row>
    <row r="43" spans="1:12" ht="25.2" customHeight="1" x14ac:dyDescent="0.3">
      <c r="A43" s="144" t="str">
        <f t="shared" ca="1" si="4"/>
        <v/>
      </c>
      <c r="B43" s="98" t="str">
        <f t="shared" ca="1" si="0"/>
        <v/>
      </c>
      <c r="C43" s="100" t="str">
        <f t="shared" ca="1" si="1"/>
        <v/>
      </c>
      <c r="D43" s="104" t="str">
        <f t="shared" ca="1" si="2"/>
        <v/>
      </c>
      <c r="E43" s="104" t="str">
        <f t="shared" ca="1" si="3"/>
        <v/>
      </c>
      <c r="F43" s="105"/>
      <c r="G43">
        <f>IF(H43="",0,(MAX($G$1:G42)+1))</f>
        <v>0</v>
      </c>
      <c r="H43" t="str">
        <f>IF('Manufacturing-Testing-Other'!V43&gt;0,CONCATENATE('Manufacturing-Testing-Other'!K43,": ",'Manufacturing-Testing-Other'!L43),"")</f>
        <v/>
      </c>
      <c r="I43" s="308" t="str">
        <f>IF('Manufacturing-Testing-Other'!V43&gt;0,'Manufacturing-Testing-Other'!R43,"")</f>
        <v/>
      </c>
      <c r="J43" t="str">
        <f>IF('Manufacturing-Testing-Other'!V43&gt;0,'Manufacturing-Testing-Other'!S43,"")</f>
        <v/>
      </c>
      <c r="K43" t="str">
        <f>IF('Manufacturing-Testing-Other'!V43&gt;0,'Manufacturing-Testing-Other'!V43,"")</f>
        <v/>
      </c>
      <c r="L43" s="92"/>
    </row>
    <row r="44" spans="1:12" ht="25.2" customHeight="1" x14ac:dyDescent="0.3">
      <c r="A44" s="144" t="str">
        <f t="shared" ca="1" si="4"/>
        <v/>
      </c>
      <c r="B44" s="98" t="str">
        <f t="shared" ca="1" si="0"/>
        <v/>
      </c>
      <c r="C44" s="100" t="str">
        <f t="shared" ca="1" si="1"/>
        <v/>
      </c>
      <c r="D44" s="104" t="str">
        <f t="shared" ca="1" si="2"/>
        <v/>
      </c>
      <c r="E44" s="104" t="str">
        <f t="shared" ca="1" si="3"/>
        <v/>
      </c>
      <c r="F44" s="105"/>
      <c r="G44">
        <f>IF(H44="",0,(MAX($G$1:G43)+1))</f>
        <v>0</v>
      </c>
      <c r="H44" t="str">
        <f>IF('Manufacturing-Testing-Other'!V44&gt;0,CONCATENATE('Manufacturing-Testing-Other'!K44,": ",'Manufacturing-Testing-Other'!L44),"")</f>
        <v/>
      </c>
      <c r="I44" s="308" t="str">
        <f>IF('Manufacturing-Testing-Other'!V44&gt;0,'Manufacturing-Testing-Other'!R44,"")</f>
        <v/>
      </c>
      <c r="J44" t="str">
        <f>IF('Manufacturing-Testing-Other'!V44&gt;0,'Manufacturing-Testing-Other'!S44,"")</f>
        <v/>
      </c>
      <c r="K44" t="str">
        <f>IF('Manufacturing-Testing-Other'!V44&gt;0,'Manufacturing-Testing-Other'!V44,"")</f>
        <v/>
      </c>
      <c r="L44" s="92"/>
    </row>
    <row r="45" spans="1:12" ht="25.2" customHeight="1" x14ac:dyDescent="0.3">
      <c r="A45" s="144" t="str">
        <f t="shared" ca="1" si="4"/>
        <v/>
      </c>
      <c r="B45" s="98" t="str">
        <f t="shared" ca="1" si="0"/>
        <v/>
      </c>
      <c r="C45" s="100" t="str">
        <f t="shared" ca="1" si="1"/>
        <v/>
      </c>
      <c r="D45" s="104" t="str">
        <f t="shared" ca="1" si="2"/>
        <v/>
      </c>
      <c r="E45" s="104" t="str">
        <f t="shared" ca="1" si="3"/>
        <v/>
      </c>
      <c r="F45" s="105"/>
      <c r="G45">
        <f>IF(H45="",0,(MAX($G$1:G44)+1))</f>
        <v>0</v>
      </c>
      <c r="H45" t="str">
        <f>IF('Manufacturing-Testing-Other'!V45&gt;0,CONCATENATE('Manufacturing-Testing-Other'!K45,'Manufacturing-Testing-Other'!L45),"")</f>
        <v/>
      </c>
      <c r="I45" s="308" t="str">
        <f>IF('Manufacturing-Testing-Other'!V45&gt;0,'Manufacturing-Testing-Other'!R45,"")</f>
        <v/>
      </c>
      <c r="J45" t="str">
        <f>IF('Manufacturing-Testing-Other'!V45&gt;0,'Manufacturing-Testing-Other'!S45,"")</f>
        <v/>
      </c>
      <c r="K45" t="str">
        <f>IF('Manufacturing-Testing-Other'!V45&gt;0,'Manufacturing-Testing-Other'!V45,"")</f>
        <v/>
      </c>
      <c r="L45" s="10"/>
    </row>
    <row r="46" spans="1:12" ht="25.2" customHeight="1" x14ac:dyDescent="0.3">
      <c r="A46" s="144" t="str">
        <f t="shared" ca="1" si="4"/>
        <v/>
      </c>
      <c r="B46" s="98" t="str">
        <f t="shared" ca="1" si="0"/>
        <v/>
      </c>
      <c r="C46" s="100" t="str">
        <f t="shared" ca="1" si="1"/>
        <v/>
      </c>
      <c r="D46" s="104" t="str">
        <f t="shared" ca="1" si="2"/>
        <v/>
      </c>
      <c r="E46" s="104" t="str">
        <f t="shared" ca="1" si="3"/>
        <v/>
      </c>
      <c r="F46" s="105"/>
      <c r="G46">
        <f>IF(H46="",0,(MAX($G$1:G45)+1))</f>
        <v>0</v>
      </c>
      <c r="H46" t="str">
        <f>IF('Manufacturing-Testing-Other'!V46&gt;0,CONCATENATE('Manufacturing-Testing-Other'!K46,": ",'Manufacturing-Testing-Other'!L46),"")</f>
        <v/>
      </c>
      <c r="I46" s="308" t="str">
        <f>IF('Manufacturing-Testing-Other'!V46&gt;0,'Manufacturing-Testing-Other'!R46,"")</f>
        <v/>
      </c>
      <c r="J46" t="str">
        <f>IF('Manufacturing-Testing-Other'!V46&gt;0,'Manufacturing-Testing-Other'!S46,"")</f>
        <v/>
      </c>
      <c r="K46" t="str">
        <f>IF('Manufacturing-Testing-Other'!V46&gt;0,'Manufacturing-Testing-Other'!V46,"")</f>
        <v/>
      </c>
      <c r="L46" s="92"/>
    </row>
    <row r="47" spans="1:12" ht="16.05" customHeight="1" x14ac:dyDescent="0.3">
      <c r="A47" s="144" t="str">
        <f t="shared" ca="1" si="4"/>
        <v/>
      </c>
      <c r="B47" s="98" t="str">
        <f t="shared" ca="1" si="0"/>
        <v/>
      </c>
      <c r="C47" s="100" t="str">
        <f t="shared" ca="1" si="1"/>
        <v/>
      </c>
      <c r="D47" s="104" t="str">
        <f t="shared" ca="1" si="2"/>
        <v/>
      </c>
      <c r="E47" s="104" t="str">
        <f t="shared" ca="1" si="3"/>
        <v/>
      </c>
      <c r="F47" s="105"/>
      <c r="G47">
        <f>IF(H47="",0,(MAX($G$1:G46)+1))</f>
        <v>0</v>
      </c>
      <c r="H47" t="str">
        <f>IF('Manufacturing-Testing-Other'!V47&gt;0,CONCATENATE('Manufacturing-Testing-Other'!K47,": ",'Manufacturing-Testing-Other'!L47),"")</f>
        <v/>
      </c>
      <c r="I47" s="308" t="str">
        <f>IF('Manufacturing-Testing-Other'!V47&gt;0,'Manufacturing-Testing-Other'!R47,"")</f>
        <v/>
      </c>
      <c r="J47" t="str">
        <f>IF('Manufacturing-Testing-Other'!V47&gt;0,'Manufacturing-Testing-Other'!S47,"")</f>
        <v/>
      </c>
      <c r="K47" t="str">
        <f>IF('Manufacturing-Testing-Other'!V47&gt;0,'Manufacturing-Testing-Other'!V47,"")</f>
        <v/>
      </c>
      <c r="L47" s="92"/>
    </row>
    <row r="48" spans="1:12" ht="16.05" customHeight="1" x14ac:dyDescent="0.3">
      <c r="A48" s="144" t="str">
        <f t="shared" ca="1" si="4"/>
        <v/>
      </c>
      <c r="B48" s="98" t="str">
        <f t="shared" ca="1" si="0"/>
        <v/>
      </c>
      <c r="C48" s="100" t="str">
        <f t="shared" ca="1" si="1"/>
        <v/>
      </c>
      <c r="D48" s="104" t="str">
        <f t="shared" ca="1" si="2"/>
        <v/>
      </c>
      <c r="E48" s="104" t="str">
        <f t="shared" ca="1" si="3"/>
        <v/>
      </c>
      <c r="F48" s="105"/>
      <c r="G48">
        <f>IF(H48="",0,(MAX($G$1:G47)+1))</f>
        <v>0</v>
      </c>
      <c r="H48" t="str">
        <f>IF('Manufacturing-Testing-Other'!V48&gt;0,CONCATENATE('Manufacturing-Testing-Other'!K48,": ",'Manufacturing-Testing-Other'!L48),"")</f>
        <v/>
      </c>
      <c r="I48" s="308" t="str">
        <f>IF('Manufacturing-Testing-Other'!V48&gt;0,'Manufacturing-Testing-Other'!R48,"")</f>
        <v/>
      </c>
      <c r="J48" t="str">
        <f>IF('Manufacturing-Testing-Other'!V48&gt;0,'Manufacturing-Testing-Other'!S48,"")</f>
        <v/>
      </c>
      <c r="K48" t="str">
        <f>IF('Manufacturing-Testing-Other'!V48&gt;0,'Manufacturing-Testing-Other'!V48,"")</f>
        <v/>
      </c>
      <c r="L48" s="92"/>
    </row>
    <row r="49" spans="1:18" ht="16.05" customHeight="1" x14ac:dyDescent="0.3">
      <c r="A49" s="144" t="str">
        <f t="shared" ca="1" si="4"/>
        <v/>
      </c>
      <c r="B49" s="98" t="str">
        <f t="shared" ca="1" si="0"/>
        <v/>
      </c>
      <c r="C49" s="100" t="str">
        <f t="shared" ca="1" si="1"/>
        <v/>
      </c>
      <c r="D49" s="104" t="str">
        <f t="shared" ca="1" si="2"/>
        <v/>
      </c>
      <c r="E49" s="104" t="str">
        <f t="shared" ca="1" si="3"/>
        <v/>
      </c>
      <c r="F49" s="105"/>
      <c r="G49">
        <f>IF(H49="",0,(MAX($G$1:G48)+1))</f>
        <v>0</v>
      </c>
      <c r="H49" t="str">
        <f>IF('Manufacturing-Testing-Other'!V49&gt;0,CONCATENATE('Manufacturing-Testing-Other'!K49,": ",'Manufacturing-Testing-Other'!L49),"")</f>
        <v/>
      </c>
      <c r="I49" s="308" t="str">
        <f>IF('Manufacturing-Testing-Other'!V49&gt;0,'Manufacturing-Testing-Other'!R49,"")</f>
        <v/>
      </c>
      <c r="J49" t="str">
        <f>IF('Manufacturing-Testing-Other'!V49&gt;0,'Manufacturing-Testing-Other'!S49,"")</f>
        <v/>
      </c>
      <c r="K49" t="str">
        <f>IF('Manufacturing-Testing-Other'!V49&gt;0,'Manufacturing-Testing-Other'!V49,"")</f>
        <v/>
      </c>
      <c r="L49" s="92"/>
    </row>
    <row r="50" spans="1:18" ht="16.05" customHeight="1" x14ac:dyDescent="0.3">
      <c r="A50" s="144" t="str">
        <f t="shared" ca="1" si="4"/>
        <v/>
      </c>
      <c r="B50" s="98" t="str">
        <f t="shared" ca="1" si="0"/>
        <v/>
      </c>
      <c r="C50" s="100" t="str">
        <f t="shared" ca="1" si="1"/>
        <v/>
      </c>
      <c r="D50" s="104" t="str">
        <f t="shared" ca="1" si="2"/>
        <v/>
      </c>
      <c r="E50" s="104" t="str">
        <f t="shared" ca="1" si="3"/>
        <v/>
      </c>
      <c r="F50" s="105"/>
      <c r="G50">
        <f>IF(H50="",0,(MAX($G$1:G49)+1))</f>
        <v>0</v>
      </c>
      <c r="H50" t="str">
        <f>IF('Manufacturing-Testing-Other'!V50&gt;0,CONCATENATE('Manufacturing-Testing-Other'!K50,": ",'Manufacturing-Testing-Other'!L50),"")</f>
        <v/>
      </c>
      <c r="I50" s="308" t="str">
        <f>IF('Manufacturing-Testing-Other'!V50&gt;0,'Manufacturing-Testing-Other'!R50,"")</f>
        <v/>
      </c>
      <c r="J50" t="str">
        <f>IF('Manufacturing-Testing-Other'!V50&gt;0,'Manufacturing-Testing-Other'!S50,"")</f>
        <v/>
      </c>
      <c r="K50" t="str">
        <f>IF('Manufacturing-Testing-Other'!V50&gt;0,'Manufacturing-Testing-Other'!V50,"")</f>
        <v/>
      </c>
      <c r="L50" s="92"/>
    </row>
    <row r="51" spans="1:18" ht="16.05" customHeight="1" x14ac:dyDescent="0.3">
      <c r="A51" s="144" t="str">
        <f t="shared" ca="1" si="4"/>
        <v/>
      </c>
      <c r="B51" s="98" t="str">
        <f t="shared" ca="1" si="0"/>
        <v/>
      </c>
      <c r="C51" s="100" t="str">
        <f t="shared" ca="1" si="1"/>
        <v/>
      </c>
      <c r="D51" s="104" t="str">
        <f t="shared" ca="1" si="2"/>
        <v/>
      </c>
      <c r="E51" s="104" t="str">
        <f t="shared" ca="1" si="3"/>
        <v/>
      </c>
      <c r="F51" s="105"/>
      <c r="G51">
        <f>IF(H51="",0,(MAX($G$1:G50)+1))</f>
        <v>0</v>
      </c>
      <c r="H51" t="str">
        <f>IF('Manufacturing-Testing-Other'!V51&gt;0,CONCATENATE('Manufacturing-Testing-Other'!K51,": ",'Manufacturing-Testing-Other'!L51),"")</f>
        <v/>
      </c>
      <c r="I51" s="308" t="str">
        <f>IF('Manufacturing-Testing-Other'!V51&gt;0,'Manufacturing-Testing-Other'!R51,"")</f>
        <v/>
      </c>
      <c r="J51" t="str">
        <f>IF('Manufacturing-Testing-Other'!V51&gt;0,'Manufacturing-Testing-Other'!S51,"")</f>
        <v/>
      </c>
      <c r="K51" t="str">
        <f>IF('Manufacturing-Testing-Other'!V51&gt;0,'Manufacturing-Testing-Other'!V51,"")</f>
        <v/>
      </c>
      <c r="L51" s="92"/>
      <c r="R51"/>
    </row>
    <row r="52" spans="1:18" ht="16.05" customHeight="1" x14ac:dyDescent="0.3">
      <c r="A52" s="144" t="str">
        <f t="shared" ca="1" si="4"/>
        <v/>
      </c>
      <c r="B52" s="98" t="str">
        <f t="shared" ca="1" si="0"/>
        <v/>
      </c>
      <c r="C52" s="100" t="str">
        <f t="shared" ca="1" si="1"/>
        <v/>
      </c>
      <c r="D52" s="104" t="str">
        <f t="shared" ca="1" si="2"/>
        <v/>
      </c>
      <c r="E52" s="104" t="str">
        <f t="shared" ca="1" si="3"/>
        <v/>
      </c>
      <c r="F52" s="105"/>
      <c r="G52">
        <f>IF(H52="",0,(MAX($G$1:G51)+1))</f>
        <v>0</v>
      </c>
      <c r="H52" t="str">
        <f>IF('Manufacturing-Testing-Other'!V52&gt;0,CONCATENATE('Manufacturing-Testing-Other'!K52,": ",'Manufacturing-Testing-Other'!L52),"")</f>
        <v/>
      </c>
      <c r="I52" s="308" t="str">
        <f>IF('Manufacturing-Testing-Other'!V52&gt;0,'Manufacturing-Testing-Other'!R52,"")</f>
        <v/>
      </c>
      <c r="J52" t="str">
        <f>IF('Manufacturing-Testing-Other'!V52&gt;0,'Manufacturing-Testing-Other'!S52,"")</f>
        <v/>
      </c>
      <c r="K52" t="str">
        <f>IF('Manufacturing-Testing-Other'!V52&gt;0,'Manufacturing-Testing-Other'!V52,"")</f>
        <v/>
      </c>
      <c r="L52" s="92"/>
    </row>
    <row r="53" spans="1:18" ht="16.05" customHeight="1" x14ac:dyDescent="0.3">
      <c r="A53" s="144" t="str">
        <f t="shared" ca="1" si="4"/>
        <v/>
      </c>
      <c r="B53" s="98" t="str">
        <f t="shared" ca="1" si="0"/>
        <v/>
      </c>
      <c r="G53">
        <f>IF(H53="",0,(MAX($G$1:G52)+1))</f>
        <v>0</v>
      </c>
      <c r="H53" t="str">
        <f>IF('Manufacturing-Testing-Other'!V53&gt;0,CONCATENATE('Manufacturing-Testing-Other'!K53,": ",'Manufacturing-Testing-Other'!L53),"")</f>
        <v/>
      </c>
      <c r="I53" s="308" t="str">
        <f>IF('Manufacturing-Testing-Other'!V53&gt;0,'Manufacturing-Testing-Other'!R53,"")</f>
        <v/>
      </c>
      <c r="J53" t="str">
        <f>IF('Manufacturing-Testing-Other'!V53&gt;0,'Manufacturing-Testing-Other'!S53,"")</f>
        <v/>
      </c>
      <c r="K53" t="str">
        <f>IF('Manufacturing-Testing-Other'!V53&gt;0,'Manufacturing-Testing-Other'!V53,"")</f>
        <v/>
      </c>
      <c r="L53" s="92"/>
    </row>
    <row r="54" spans="1:18" ht="16.05" customHeight="1" x14ac:dyDescent="0.3">
      <c r="A54" s="144" t="str">
        <f t="shared" ca="1" si="4"/>
        <v/>
      </c>
      <c r="B54" s="98" t="str">
        <f t="shared" ca="1" si="0"/>
        <v/>
      </c>
      <c r="G54">
        <f>IF(H54="",0,(MAX($G$1:G53)+1))</f>
        <v>0</v>
      </c>
      <c r="H54" t="str">
        <f>IF('Manufacturing-Testing-Other'!V54&gt;0,CONCATENATE('Manufacturing-Testing-Other'!K54,": ",'Manufacturing-Testing-Other'!L54),"")</f>
        <v/>
      </c>
      <c r="I54" s="308" t="str">
        <f>IF('Manufacturing-Testing-Other'!V54&gt;0,'Manufacturing-Testing-Other'!R54,"")</f>
        <v/>
      </c>
      <c r="J54" t="str">
        <f>IF('Manufacturing-Testing-Other'!V54&gt;0,'Manufacturing-Testing-Other'!S54,"")</f>
        <v/>
      </c>
      <c r="K54" t="str">
        <f>IF('Manufacturing-Testing-Other'!V54&gt;0,'Manufacturing-Testing-Other'!V54,"")</f>
        <v/>
      </c>
      <c r="L54" s="92"/>
    </row>
    <row r="55" spans="1:18" x14ac:dyDescent="0.3">
      <c r="A55" s="144" t="str">
        <f t="shared" ca="1" si="4"/>
        <v/>
      </c>
      <c r="B55" s="98" t="str">
        <f t="shared" ca="1" si="0"/>
        <v/>
      </c>
      <c r="G55">
        <f>IF(H55="",0,(MAX($G$1:G54)+1))</f>
        <v>0</v>
      </c>
      <c r="H55" t="str">
        <f>IF('Manufacturing-Testing-Other'!V55&gt;0,CONCATENATE('Manufacturing-Testing-Other'!K55,": ",'Manufacturing-Testing-Other'!L55),"")</f>
        <v/>
      </c>
      <c r="I55" s="308" t="str">
        <f>IF('Manufacturing-Testing-Other'!V55&gt;0,'Manufacturing-Testing-Other'!R55,"")</f>
        <v/>
      </c>
      <c r="J55" t="str">
        <f>IF('Manufacturing-Testing-Other'!V55&gt;0,'Manufacturing-Testing-Other'!S55,"")</f>
        <v/>
      </c>
      <c r="K55" t="str">
        <f>IF('Manufacturing-Testing-Other'!V55&gt;0,'Manufacturing-Testing-Other'!V55,"")</f>
        <v/>
      </c>
      <c r="L55" s="92"/>
    </row>
    <row r="56" spans="1:18" x14ac:dyDescent="0.3">
      <c r="A56" s="144" t="str">
        <f t="shared" ca="1" si="4"/>
        <v/>
      </c>
      <c r="B56" s="98" t="str">
        <f t="shared" ca="1" si="0"/>
        <v/>
      </c>
      <c r="G56">
        <f>IF(H56="",0,(MAX($G$1:G55)+1))</f>
        <v>0</v>
      </c>
      <c r="H56" t="str">
        <f>IF('Manufacturing-Testing-Other'!V56&gt;0,CONCATENATE('Manufacturing-Testing-Other'!K56,": ",'Manufacturing-Testing-Other'!L56),"")</f>
        <v/>
      </c>
      <c r="I56" s="308" t="str">
        <f>IF('Manufacturing-Testing-Other'!V56&gt;0,'Manufacturing-Testing-Other'!R56,"")</f>
        <v/>
      </c>
      <c r="J56" t="str">
        <f>IF('Manufacturing-Testing-Other'!V56&gt;0,'Manufacturing-Testing-Other'!S56,"")</f>
        <v/>
      </c>
      <c r="K56" t="str">
        <f>IF('Manufacturing-Testing-Other'!V56&gt;0,'Manufacturing-Testing-Other'!V56,"")</f>
        <v/>
      </c>
      <c r="L56" s="92"/>
    </row>
    <row r="57" spans="1:18" x14ac:dyDescent="0.3">
      <c r="A57" s="144" t="str">
        <f t="shared" ca="1" si="4"/>
        <v/>
      </c>
      <c r="B57" s="98" t="str">
        <f t="shared" ca="1" si="0"/>
        <v/>
      </c>
      <c r="G57">
        <f>IF(H57="",0,(MAX($G$1:G56)+1))</f>
        <v>0</v>
      </c>
      <c r="H57" t="str">
        <f>IF('Manufacturing-Testing-Other'!V57&gt;0,CONCATENATE('Manufacturing-Testing-Other'!K57,": ",'Manufacturing-Testing-Other'!L57),"")</f>
        <v/>
      </c>
      <c r="I57" s="308" t="str">
        <f>IF('Manufacturing-Testing-Other'!V57&gt;0,'Manufacturing-Testing-Other'!R57,"")</f>
        <v/>
      </c>
      <c r="J57" t="str">
        <f>IF('Manufacturing-Testing-Other'!V57&gt;0,'Manufacturing-Testing-Other'!S57,"")</f>
        <v/>
      </c>
      <c r="K57" t="str">
        <f>IF('Manufacturing-Testing-Other'!V57&gt;0,'Manufacturing-Testing-Other'!V57,"")</f>
        <v/>
      </c>
      <c r="L57" s="92"/>
    </row>
    <row r="58" spans="1:18" x14ac:dyDescent="0.3">
      <c r="A58" s="144" t="str">
        <f t="shared" ca="1" si="4"/>
        <v/>
      </c>
      <c r="B58" s="98" t="str">
        <f t="shared" ca="1" si="0"/>
        <v/>
      </c>
      <c r="G58">
        <f>IF(H58="",0,(MAX($G$1:G57)+1))</f>
        <v>0</v>
      </c>
      <c r="H58" t="str">
        <f>IF('Manufacturing-Testing-Other'!V58&gt;0,CONCATENATE('Manufacturing-Testing-Other'!K58,": ",'Manufacturing-Testing-Other'!L58),"")</f>
        <v/>
      </c>
      <c r="I58" s="308" t="str">
        <f>IF('Manufacturing-Testing-Other'!V58&gt;0,'Manufacturing-Testing-Other'!R58,"")</f>
        <v/>
      </c>
      <c r="J58" t="str">
        <f>IF('Manufacturing-Testing-Other'!V58&gt;0,'Manufacturing-Testing-Other'!S58,"")</f>
        <v/>
      </c>
      <c r="K58" t="str">
        <f>IF('Manufacturing-Testing-Other'!V58&gt;0,'Manufacturing-Testing-Other'!V58,"")</f>
        <v/>
      </c>
      <c r="L58" s="92"/>
    </row>
    <row r="59" spans="1:18" x14ac:dyDescent="0.3">
      <c r="A59" s="144" t="str">
        <f t="shared" ca="1" si="4"/>
        <v/>
      </c>
      <c r="B59" s="98" t="str">
        <f t="shared" ca="1" si="0"/>
        <v/>
      </c>
      <c r="G59">
        <f>IF(H59="",0,(MAX($G$1:G58)+1))</f>
        <v>0</v>
      </c>
      <c r="H59" t="str">
        <f>IF('Manufacturing-Testing-Other'!V59&gt;0,CONCATENATE('Manufacturing-Testing-Other'!K59,": ",'Manufacturing-Testing-Other'!L59),"")</f>
        <v/>
      </c>
      <c r="I59" s="308" t="str">
        <f>IF('Manufacturing-Testing-Other'!V59&gt;0,'Manufacturing-Testing-Other'!R59,"")</f>
        <v/>
      </c>
      <c r="J59" t="str">
        <f>IF('Manufacturing-Testing-Other'!V59&gt;0,'Manufacturing-Testing-Other'!S59,"")</f>
        <v/>
      </c>
      <c r="K59" t="str">
        <f>IF('Manufacturing-Testing-Other'!V59&gt;0,'Manufacturing-Testing-Other'!V59,"")</f>
        <v/>
      </c>
      <c r="L59" s="92"/>
    </row>
    <row r="60" spans="1:18" x14ac:dyDescent="0.3">
      <c r="A60" s="144" t="str">
        <f t="shared" ca="1" si="4"/>
        <v/>
      </c>
      <c r="B60" s="98" t="str">
        <f t="shared" ca="1" si="0"/>
        <v/>
      </c>
      <c r="G60">
        <f>IF(H60="",0,(MAX($G$1:G59)+1))</f>
        <v>0</v>
      </c>
      <c r="H60" t="str">
        <f>IF('Manufacturing-Testing-Other'!V60&gt;0,CONCATENATE('Manufacturing-Testing-Other'!K60,": ",'Manufacturing-Testing-Other'!L60),"")</f>
        <v/>
      </c>
      <c r="I60" s="308" t="str">
        <f>IF('Manufacturing-Testing-Other'!V60&gt;0,'Manufacturing-Testing-Other'!R60,"")</f>
        <v/>
      </c>
      <c r="J60" t="str">
        <f>IF('Manufacturing-Testing-Other'!V60&gt;0,'Manufacturing-Testing-Other'!S60,"")</f>
        <v/>
      </c>
      <c r="K60" t="str">
        <f>IF('Manufacturing-Testing-Other'!V60&gt;0,'Manufacturing-Testing-Other'!V60,"")</f>
        <v/>
      </c>
      <c r="L60" s="92"/>
    </row>
    <row r="61" spans="1:18" x14ac:dyDescent="0.3">
      <c r="A61" s="144" t="str">
        <f t="shared" ca="1" si="4"/>
        <v/>
      </c>
      <c r="B61" s="98" t="str">
        <f t="shared" ca="1" si="0"/>
        <v/>
      </c>
      <c r="G61">
        <f>IF(H61="",0,(MAX($G$1:G60)+1))</f>
        <v>0</v>
      </c>
      <c r="H61" t="str">
        <f>IF($C$1="","",IF('Drug &amp; Supply Prices'!E2="","",CONCATENATE("Drug Purchase: ",'Drug &amp; Supply Prices'!A2)))</f>
        <v/>
      </c>
      <c r="I61" s="89" t="str">
        <f>IF(H61="","",IF('Drug &amp; Supply Prices'!A2="","",'Drug &amp; Supply Prices'!C2))</f>
        <v/>
      </c>
      <c r="J61" t="str">
        <f>IF(H61="","",IF('Drug &amp; Supply Prices'!A2="","""",'Drug &amp; Supply Prices'!D2))</f>
        <v/>
      </c>
      <c r="K61" t="str">
        <f>IF(H61="","",IF('Drug &amp; Supply Prices'!A2="","",'Drug &amp; Supply Prices'!E2))</f>
        <v/>
      </c>
      <c r="L61" s="111"/>
    </row>
    <row r="62" spans="1:18" x14ac:dyDescent="0.3">
      <c r="A62" s="144" t="str">
        <f t="shared" ca="1" si="4"/>
        <v/>
      </c>
      <c r="B62" s="98" t="str">
        <f t="shared" ca="1" si="0"/>
        <v/>
      </c>
      <c r="G62">
        <f>IF(H62="",0,(MAX($G$1:G61)+1))</f>
        <v>0</v>
      </c>
      <c r="H62" t="str">
        <f>IF($C$1="","",IF('Drug &amp; Supply Prices'!E3="","",CONCATENATE("Drug Purchase: ",'Drug &amp; Supply Prices'!A3)))</f>
        <v/>
      </c>
      <c r="I62" s="113" t="str">
        <f>IF(H62="","",IF('Drug &amp; Supply Prices'!A3="","",'Drug &amp; Supply Prices'!C3))</f>
        <v/>
      </c>
      <c r="J62" t="str">
        <f>IF(H62="","",IF('Drug &amp; Supply Prices'!A3="","""",'Drug &amp; Supply Prices'!D3))</f>
        <v/>
      </c>
      <c r="K62" t="str">
        <f>IF(H62="","",IF('Drug &amp; Supply Prices'!A3="","",'Drug &amp; Supply Prices'!E3))</f>
        <v/>
      </c>
      <c r="L62" s="111"/>
    </row>
    <row r="63" spans="1:18" x14ac:dyDescent="0.3">
      <c r="A63" s="144" t="str">
        <f t="shared" ca="1" si="4"/>
        <v/>
      </c>
      <c r="B63" s="98" t="str">
        <f t="shared" ca="1" si="0"/>
        <v/>
      </c>
      <c r="G63">
        <f>IF(H63="",0,(MAX($G$1:G62)+1))</f>
        <v>0</v>
      </c>
      <c r="H63" t="str">
        <f>IF($C$1="","",IF('Drug &amp; Supply Prices'!E4="","",CONCATENATE("Drug Purchase: ",'Drug &amp; Supply Prices'!A4)))</f>
        <v/>
      </c>
      <c r="I63" s="113" t="str">
        <f>IF(H63="","",IF('Drug &amp; Supply Prices'!A4="","",'Drug &amp; Supply Prices'!C4))</f>
        <v/>
      </c>
      <c r="J63" t="str">
        <f>IF(H63="","",IF('Drug &amp; Supply Prices'!A4="","""",'Drug &amp; Supply Prices'!D4))</f>
        <v/>
      </c>
      <c r="K63" t="str">
        <f>IF(H63="","",IF('Drug &amp; Supply Prices'!A4="","",'Drug &amp; Supply Prices'!E4))</f>
        <v/>
      </c>
      <c r="L63" s="111"/>
    </row>
    <row r="64" spans="1:18" x14ac:dyDescent="0.3">
      <c r="A64" s="144" t="str">
        <f t="shared" ca="1" si="4"/>
        <v/>
      </c>
      <c r="B64" s="98" t="str">
        <f t="shared" ca="1" si="0"/>
        <v/>
      </c>
      <c r="G64">
        <f>IF(H64="",0,(MAX($G$1:G63)+1))</f>
        <v>0</v>
      </c>
      <c r="H64" t="str">
        <f>IF($C$1="","",IF('Drug &amp; Supply Prices'!E5="","",CONCATENATE("Drug Purchase: ",'Drug &amp; Supply Prices'!A5)))</f>
        <v/>
      </c>
      <c r="I64" s="113" t="str">
        <f>IF(H64="","",IF('Drug &amp; Supply Prices'!A5="","",'Drug &amp; Supply Prices'!C5))</f>
        <v/>
      </c>
      <c r="J64" t="str">
        <f>IF(H64="","",IF('Drug &amp; Supply Prices'!A5="","""",'Drug &amp; Supply Prices'!D5))</f>
        <v/>
      </c>
      <c r="K64" t="str">
        <f>IF(H64="","",IF('Drug &amp; Supply Prices'!A5="","",'Drug &amp; Supply Prices'!E5))</f>
        <v/>
      </c>
      <c r="L64" s="111"/>
    </row>
    <row r="65" spans="1:12" x14ac:dyDescent="0.3">
      <c r="A65" s="144" t="str">
        <f t="shared" ca="1" si="4"/>
        <v/>
      </c>
      <c r="B65" s="98" t="str">
        <f t="shared" ca="1" si="0"/>
        <v/>
      </c>
      <c r="G65">
        <f>IF(H65="",0,(MAX($G$1:G64)+1))</f>
        <v>0</v>
      </c>
      <c r="H65" t="str">
        <f>IF($C$1="","",IF('Drug &amp; Supply Prices'!E6="","",CONCATENATE("Drug Purchase: ",'Drug &amp; Supply Prices'!A6)))</f>
        <v/>
      </c>
      <c r="I65" s="113" t="str">
        <f>IF(H65="","",IF('Drug &amp; Supply Prices'!A6="","",'Drug &amp; Supply Prices'!C6))</f>
        <v/>
      </c>
      <c r="J65" t="str">
        <f>IF(H65="","",IF('Drug &amp; Supply Prices'!A6="","""",'Drug &amp; Supply Prices'!D6))</f>
        <v/>
      </c>
      <c r="K65" t="str">
        <f>IF(H65="","",IF('Drug &amp; Supply Prices'!A6="","",'Drug &amp; Supply Prices'!E6))</f>
        <v/>
      </c>
      <c r="L65" s="111"/>
    </row>
    <row r="66" spans="1:12" x14ac:dyDescent="0.3">
      <c r="A66" s="144" t="str">
        <f t="shared" ca="1" si="4"/>
        <v/>
      </c>
      <c r="B66" s="98" t="str">
        <f t="shared" ca="1" si="0"/>
        <v/>
      </c>
      <c r="G66">
        <f>IF(H66="",0,(MAX($G$1:G65)+1))</f>
        <v>0</v>
      </c>
      <c r="H66" t="str">
        <f>IF($C$1="","",IF('Drug &amp; Supply Prices'!E7="","",CONCATENATE("Drug Purchase: ",'Drug &amp; Supply Prices'!A7)))</f>
        <v/>
      </c>
      <c r="I66" s="113" t="str">
        <f>IF(H66="","",IF('Drug &amp; Supply Prices'!A7="","",'Drug &amp; Supply Prices'!C7))</f>
        <v/>
      </c>
      <c r="J66" t="str">
        <f>IF(H66="","",IF('Drug &amp; Supply Prices'!A7="","""",'Drug &amp; Supply Prices'!D7))</f>
        <v/>
      </c>
      <c r="K66" t="str">
        <f>IF(H66="","",IF('Drug &amp; Supply Prices'!A7="","",'Drug &amp; Supply Prices'!E7))</f>
        <v/>
      </c>
      <c r="L66" s="111"/>
    </row>
    <row r="67" spans="1:12" x14ac:dyDescent="0.3">
      <c r="A67" s="144" t="str">
        <f t="shared" ca="1" si="4"/>
        <v/>
      </c>
      <c r="B67" s="98" t="str">
        <f t="shared" ca="1" si="0"/>
        <v/>
      </c>
      <c r="G67">
        <f>IF(H67="",0,(MAX($G$1:G66)+1))</f>
        <v>0</v>
      </c>
      <c r="H67" t="str">
        <f>IF($C$1="","",IF('Drug &amp; Supply Prices'!E8="","",CONCATENATE("Drug Purchase: ",'Drug &amp; Supply Prices'!A8)))</f>
        <v/>
      </c>
      <c r="I67" s="113" t="str">
        <f>IF(H67="","",IF('Drug &amp; Supply Prices'!A8="","",'Drug &amp; Supply Prices'!C8))</f>
        <v/>
      </c>
      <c r="J67" t="str">
        <f>IF(H67="","",IF('Drug &amp; Supply Prices'!A8="","""",'Drug &amp; Supply Prices'!D8))</f>
        <v/>
      </c>
      <c r="K67" t="str">
        <f>IF(H67="","",IF('Drug &amp; Supply Prices'!A8="","",'Drug &amp; Supply Prices'!E8))</f>
        <v/>
      </c>
      <c r="L67" s="111"/>
    </row>
    <row r="68" spans="1:12" x14ac:dyDescent="0.3">
      <c r="A68" s="144" t="str">
        <f t="shared" ca="1" si="4"/>
        <v/>
      </c>
      <c r="B68" s="98" t="str">
        <f t="shared" ca="1" si="0"/>
        <v/>
      </c>
      <c r="G68">
        <f>IF(H68="",0,(MAX($G$1:G67)+1))</f>
        <v>0</v>
      </c>
      <c r="H68" t="str">
        <f>IF($C$1="","",IF('Drug &amp; Supply Prices'!E9="","",CONCATENATE("Drug Purchase: ",'Drug &amp; Supply Prices'!A9)))</f>
        <v/>
      </c>
      <c r="I68" s="113" t="str">
        <f>IF(H68="","",IF('Drug &amp; Supply Prices'!A9="","",'Drug &amp; Supply Prices'!C9))</f>
        <v/>
      </c>
      <c r="J68" t="str">
        <f>IF(H68="","",IF('Drug &amp; Supply Prices'!A9="","""",'Drug &amp; Supply Prices'!D9))</f>
        <v/>
      </c>
      <c r="K68" t="str">
        <f>IF(H68="","",IF('Drug &amp; Supply Prices'!A9="","",'Drug &amp; Supply Prices'!E9))</f>
        <v/>
      </c>
      <c r="L68" s="111"/>
    </row>
    <row r="69" spans="1:12" x14ac:dyDescent="0.3">
      <c r="A69" s="144" t="str">
        <f t="shared" ca="1" si="4"/>
        <v/>
      </c>
      <c r="B69" s="98" t="str">
        <f t="shared" ca="1" si="0"/>
        <v/>
      </c>
      <c r="G69">
        <f>IF(H69="",0,(MAX($G$1:G68)+1))</f>
        <v>0</v>
      </c>
      <c r="H69" t="str">
        <f>IF($C$1="","",IF('Drug &amp; Supply Prices'!E10="","",CONCATENATE("Drug Purchase: ",'Drug &amp; Supply Prices'!A10)))</f>
        <v/>
      </c>
      <c r="I69" s="113" t="str">
        <f>IF(H69="","",IF('Drug &amp; Supply Prices'!A10="","",'Drug &amp; Supply Prices'!C10))</f>
        <v/>
      </c>
      <c r="J69" t="str">
        <f>IF(H69="","",IF('Drug &amp; Supply Prices'!A10="","""",'Drug &amp; Supply Prices'!D10))</f>
        <v/>
      </c>
      <c r="K69" t="str">
        <f>IF(H69="","",IF('Drug &amp; Supply Prices'!A10="","",'Drug &amp; Supply Prices'!E10))</f>
        <v/>
      </c>
      <c r="L69" s="111"/>
    </row>
    <row r="70" spans="1:12" x14ac:dyDescent="0.3">
      <c r="A70" s="144" t="str">
        <f t="shared" ca="1" si="4"/>
        <v/>
      </c>
      <c r="B70" s="98" t="str">
        <f t="shared" ca="1" si="0"/>
        <v/>
      </c>
      <c r="G70">
        <f>IF(H70="",0,(MAX($G$1:G69)+1))</f>
        <v>0</v>
      </c>
      <c r="H70" t="str">
        <f>IF($C$1="","",IF('Drug &amp; Supply Prices'!E12="","",CONCATENATE("Supply Purchase: ",'Drug &amp; Supply Prices'!A12)))</f>
        <v/>
      </c>
      <c r="I70" s="308" t="str">
        <f>IF(H70="","",IF('Drug &amp; Supply Prices'!A12="","",'Drug &amp; Supply Prices'!C12))</f>
        <v/>
      </c>
      <c r="J70" t="str">
        <f>IF(H70="","",IF('Drug &amp; Supply Prices'!A12="","""",'Drug &amp; Supply Prices'!D12))</f>
        <v/>
      </c>
      <c r="K70" t="str">
        <f>IF(H70="","",IF('Drug &amp; Supply Prices'!A12="","",'Drug &amp; Supply Prices'!E12))</f>
        <v/>
      </c>
      <c r="L70" s="700"/>
    </row>
    <row r="71" spans="1:12" x14ac:dyDescent="0.3">
      <c r="A71" s="144" t="str">
        <f t="shared" ca="1" si="4"/>
        <v/>
      </c>
      <c r="B71" s="98" t="str">
        <f t="shared" ref="B71:B100" ca="1" si="5">IF(A71="","",VLOOKUP(A71,$G$1:$K$100,2,FALSE))</f>
        <v/>
      </c>
      <c r="G71">
        <f>IF(H71="",0,(MAX($G$1:G70)+1))</f>
        <v>0</v>
      </c>
      <c r="H71" t="str">
        <f>IF($C$1="","",IF('Drug &amp; Supply Prices'!E13="","",CONCATENATE("Supply Purchase: ",'Drug &amp; Supply Prices'!A13)))</f>
        <v/>
      </c>
      <c r="I71" s="308" t="str">
        <f>IF(H71="","",IF('Drug &amp; Supply Prices'!A13="","",'Drug &amp; Supply Prices'!C13))</f>
        <v/>
      </c>
      <c r="J71" t="str">
        <f>IF(H71="","",IF('Drug &amp; Supply Prices'!A13="","""",'Drug &amp; Supply Prices'!D13))</f>
        <v/>
      </c>
      <c r="K71" t="str">
        <f>IF(H71="","",IF('Drug &amp; Supply Prices'!A13="","",'Drug &amp; Supply Prices'!E13))</f>
        <v/>
      </c>
      <c r="L71" s="700"/>
    </row>
    <row r="72" spans="1:12" x14ac:dyDescent="0.3">
      <c r="A72" s="144" t="str">
        <f t="shared" ref="A72:A100" ca="1" si="6">IF(A71="","",IF($M$1&gt;=1+A71,A71+1,""))</f>
        <v/>
      </c>
      <c r="B72" s="98" t="str">
        <f t="shared" ca="1" si="5"/>
        <v/>
      </c>
      <c r="G72">
        <f>IF(H72="",0,(MAX($G$1:G71)+1))</f>
        <v>0</v>
      </c>
      <c r="H72" t="str">
        <f>IF($C$1="","",IF('Drug &amp; Supply Prices'!E14="","",CONCATENATE("Supply Purchase: ",'Drug &amp; Supply Prices'!A14)))</f>
        <v/>
      </c>
      <c r="I72" s="308" t="str">
        <f>IF(H72="","",IF('Drug &amp; Supply Prices'!A14="","",'Drug &amp; Supply Prices'!C14))</f>
        <v/>
      </c>
      <c r="J72" t="str">
        <f>IF(H72="","",IF('Drug &amp; Supply Prices'!A14="","""",'Drug &amp; Supply Prices'!D14))</f>
        <v/>
      </c>
      <c r="K72" t="str">
        <f>IF(H72="","",IF('Drug &amp; Supply Prices'!A14="","",'Drug &amp; Supply Prices'!E14))</f>
        <v/>
      </c>
      <c r="L72" s="700"/>
    </row>
    <row r="73" spans="1:12" x14ac:dyDescent="0.3">
      <c r="A73" s="144" t="str">
        <f t="shared" ca="1" si="6"/>
        <v/>
      </c>
      <c r="B73" s="98" t="str">
        <f t="shared" ca="1" si="5"/>
        <v/>
      </c>
      <c r="G73">
        <f>IF(H73="",0,(MAX($G$1:G72)+1))</f>
        <v>0</v>
      </c>
      <c r="H73" t="str">
        <f>IF($C$1="","",IF('Drug &amp; Supply Prices'!E15="","",CONCATENATE("Supply Purchase: ",'Drug &amp; Supply Prices'!A15)))</f>
        <v/>
      </c>
      <c r="I73" s="308" t="str">
        <f>IF(H73="","",IF('Drug &amp; Supply Prices'!A15="","",'Drug &amp; Supply Prices'!C15))</f>
        <v/>
      </c>
      <c r="J73" t="str">
        <f>IF(H73="","",IF('Drug &amp; Supply Prices'!A15="","""",'Drug &amp; Supply Prices'!D15))</f>
        <v/>
      </c>
      <c r="K73" t="str">
        <f>IF(H73="","",IF('Drug &amp; Supply Prices'!A15="","",'Drug &amp; Supply Prices'!E15))</f>
        <v/>
      </c>
      <c r="L73" s="700"/>
    </row>
    <row r="74" spans="1:12" x14ac:dyDescent="0.3">
      <c r="A74" s="144" t="str">
        <f t="shared" ca="1" si="6"/>
        <v/>
      </c>
      <c r="B74" s="98" t="str">
        <f t="shared" ca="1" si="5"/>
        <v/>
      </c>
      <c r="G74">
        <f>IF(H74="",0,(MAX($G$1:G73)+1))</f>
        <v>0</v>
      </c>
      <c r="H74" t="str">
        <f>IF($C$1="","",IF('Drug &amp; Supply Prices'!E16="","",CONCATENATE("Supply Purchase: ",'Drug &amp; Supply Prices'!A16)))</f>
        <v/>
      </c>
      <c r="I74" s="308" t="str">
        <f>IF(H74="","",IF('Drug &amp; Supply Prices'!A16="","",'Drug &amp; Supply Prices'!C16))</f>
        <v/>
      </c>
      <c r="J74" t="str">
        <f>IF(H74="","",IF('Drug &amp; Supply Prices'!A16="","""",'Drug &amp; Supply Prices'!D16))</f>
        <v/>
      </c>
      <c r="K74" t="str">
        <f>IF(H74="","",IF('Drug &amp; Supply Prices'!A16="","",'Drug &amp; Supply Prices'!E16))</f>
        <v/>
      </c>
      <c r="L74" s="700"/>
    </row>
    <row r="75" spans="1:12" x14ac:dyDescent="0.3">
      <c r="A75" s="144" t="str">
        <f t="shared" ca="1" si="6"/>
        <v/>
      </c>
      <c r="B75" s="98" t="str">
        <f t="shared" ca="1" si="5"/>
        <v/>
      </c>
      <c r="G75">
        <f>IF(H75="",0,(MAX($G$1:G74)+1))</f>
        <v>0</v>
      </c>
      <c r="H75" t="str">
        <f>IF($C$1="","",IF('Drug &amp; Supply Prices'!E17="","",CONCATENATE("Supply Purchase: ",'Drug &amp; Supply Prices'!A17)))</f>
        <v/>
      </c>
      <c r="I75" s="308" t="str">
        <f>IF(H75="","",IF('Drug &amp; Supply Prices'!A17="","",'Drug &amp; Supply Prices'!C17))</f>
        <v/>
      </c>
      <c r="J75" t="str">
        <f>IF(H75="","",IF('Drug &amp; Supply Prices'!A17="","""",'Drug &amp; Supply Prices'!D17))</f>
        <v/>
      </c>
      <c r="K75" t="str">
        <f>IF(H75="","",IF('Drug &amp; Supply Prices'!A17="","",'Drug &amp; Supply Prices'!E17))</f>
        <v/>
      </c>
      <c r="L75" s="700"/>
    </row>
    <row r="76" spans="1:12" x14ac:dyDescent="0.3">
      <c r="A76" s="144" t="str">
        <f t="shared" ca="1" si="6"/>
        <v/>
      </c>
      <c r="B76" s="98" t="str">
        <f t="shared" ca="1" si="5"/>
        <v/>
      </c>
      <c r="G76">
        <f>IF(H76="",0,(MAX($G$1:G75)+1))</f>
        <v>0</v>
      </c>
      <c r="H76" t="str">
        <f>IF($C$1="","",IF('Drug &amp; Supply Prices'!E18="","",CONCATENATE("Supply Purchase: ",'Drug &amp; Supply Prices'!A18)))</f>
        <v/>
      </c>
      <c r="I76" s="308" t="str">
        <f>IF(H76="","",IF('Drug &amp; Supply Prices'!A18="","",'Drug &amp; Supply Prices'!C18))</f>
        <v/>
      </c>
      <c r="J76" t="str">
        <f>IF(H76="","",IF('Drug &amp; Supply Prices'!A18="","""",'Drug &amp; Supply Prices'!D18))</f>
        <v/>
      </c>
      <c r="K76" t="str">
        <f>IF(H76="","",IF('Drug &amp; Supply Prices'!A18="","",'Drug &amp; Supply Prices'!E18))</f>
        <v/>
      </c>
      <c r="L76" s="700"/>
    </row>
    <row r="77" spans="1:12" x14ac:dyDescent="0.3">
      <c r="A77" s="144" t="str">
        <f t="shared" ca="1" si="6"/>
        <v/>
      </c>
      <c r="B77" s="98" t="str">
        <f t="shared" ca="1" si="5"/>
        <v/>
      </c>
      <c r="G77">
        <f>IF(H77="",0,(MAX($G$1:G76)+1))</f>
        <v>0</v>
      </c>
      <c r="H77" t="str">
        <f>IF($C$1="","",IF('Drug &amp; Supply Prices'!E19="","",CONCATENATE("Supply Purchase: ",'Drug &amp; Supply Prices'!A19)))</f>
        <v/>
      </c>
      <c r="I77" s="308" t="str">
        <f>IF(H77="","",IF('Drug &amp; Supply Prices'!A19="","",'Drug &amp; Supply Prices'!C19))</f>
        <v/>
      </c>
      <c r="J77" t="str">
        <f>IF(H77="","",IF('Drug &amp; Supply Prices'!A19="","""",'Drug &amp; Supply Prices'!D19))</f>
        <v/>
      </c>
      <c r="K77" t="str">
        <f>IF(H77="","",IF('Drug &amp; Supply Prices'!A19="","",'Drug &amp; Supply Prices'!E19))</f>
        <v/>
      </c>
      <c r="L77" s="700"/>
    </row>
    <row r="78" spans="1:12" x14ac:dyDescent="0.3">
      <c r="A78" s="144" t="str">
        <f t="shared" ca="1" si="6"/>
        <v/>
      </c>
      <c r="B78" s="98" t="str">
        <f t="shared" ca="1" si="5"/>
        <v/>
      </c>
      <c r="G78">
        <f>IF(H78="",0,(MAX($G$1:G77)+1))</f>
        <v>0</v>
      </c>
      <c r="H78" t="str">
        <f>IF($C$1="","",IF('Drug &amp; Supply Prices'!E20="","",CONCATENATE("Supply Purchase: ",'Drug &amp; Supply Prices'!A20)))</f>
        <v/>
      </c>
      <c r="I78" s="308" t="str">
        <f>IF(H78="","",IF('Drug &amp; Supply Prices'!A20="","",'Drug &amp; Supply Prices'!C20))</f>
        <v/>
      </c>
      <c r="J78" t="str">
        <f>IF(H78="","",IF('Drug &amp; Supply Prices'!A20="","""",'Drug &amp; Supply Prices'!D20))</f>
        <v/>
      </c>
      <c r="K78" t="str">
        <f>IF(H78="","",IF('Drug &amp; Supply Prices'!A20="","",'Drug &amp; Supply Prices'!E20))</f>
        <v/>
      </c>
      <c r="L78" s="700"/>
    </row>
    <row r="79" spans="1:12" x14ac:dyDescent="0.3">
      <c r="A79" s="144" t="str">
        <f t="shared" ca="1" si="6"/>
        <v/>
      </c>
      <c r="B79" s="98" t="str">
        <f t="shared" ca="1" si="5"/>
        <v/>
      </c>
      <c r="G79">
        <f>IF(H79="",0,(MAX($G$1:G78)+1))</f>
        <v>0</v>
      </c>
      <c r="H79" t="str">
        <f>IF($C$1="","",IF('Drug &amp; Supply Prices'!E22="","",CONCATENATE('Drug &amp; Supply Prices'!A22,":")))</f>
        <v/>
      </c>
      <c r="I79" s="308" t="str">
        <f>IF(H79="","",IF('Drug &amp; Supply Prices'!A22="","",'Drug &amp; Supply Prices'!C22))</f>
        <v/>
      </c>
      <c r="J79" t="str">
        <f>IF(H79="","",IF('Drug &amp; Supply Prices'!A22="","""",'Drug &amp; Supply Prices'!D22))</f>
        <v/>
      </c>
      <c r="K79" t="str">
        <f>IF(H79="","",IF('Drug &amp; Supply Prices'!A22="","",'Drug &amp; Supply Prices'!E22))</f>
        <v/>
      </c>
      <c r="L79" s="350"/>
    </row>
    <row r="80" spans="1:12" x14ac:dyDescent="0.3">
      <c r="A80" s="144" t="str">
        <f t="shared" ca="1" si="6"/>
        <v/>
      </c>
      <c r="B80" s="98" t="str">
        <f t="shared" ca="1" si="5"/>
        <v/>
      </c>
      <c r="G80">
        <f>IF(H80="",0,(MAX($G$1:G79)+1))</f>
        <v>0</v>
      </c>
      <c r="H80" t="str">
        <f>IF($C$1="","",IF('Drug &amp; Supply Prices'!E23="","",CONCATENATE('Drug &amp; Supply Prices'!A23,":")))</f>
        <v/>
      </c>
      <c r="I80" s="308" t="str">
        <f>IF(H80="","",IF('Drug &amp; Supply Prices'!A23="","",'Drug &amp; Supply Prices'!C23))</f>
        <v/>
      </c>
      <c r="J80" t="str">
        <f>IF(H80="","",IF('Drug &amp; Supply Prices'!A23="","""",'Drug &amp; Supply Prices'!D23))</f>
        <v/>
      </c>
      <c r="K80" t="str">
        <f>IF(H80="","",IF('Drug &amp; Supply Prices'!A23="","",'Drug &amp; Supply Prices'!E23))</f>
        <v/>
      </c>
      <c r="L80" s="350"/>
    </row>
    <row r="81" spans="1:12" x14ac:dyDescent="0.3">
      <c r="A81" s="144" t="str">
        <f t="shared" ca="1" si="6"/>
        <v/>
      </c>
      <c r="B81" s="98" t="str">
        <f t="shared" ca="1" si="5"/>
        <v/>
      </c>
      <c r="G81">
        <f>IF(H81="",0,(MAX($G$1:G80)+1))</f>
        <v>0</v>
      </c>
      <c r="H81" t="str">
        <f>IF($C$1="","",IF('Drug &amp; Supply Prices'!E24="","",CONCATENATE('Drug &amp; Supply Prices'!A24,":")))</f>
        <v/>
      </c>
      <c r="I81" s="308" t="str">
        <f>IF(H81="","",IF('Drug &amp; Supply Prices'!A24="","",'Drug &amp; Supply Prices'!C24))</f>
        <v/>
      </c>
      <c r="J81" t="str">
        <f>IF(H81="","",IF('Drug &amp; Supply Prices'!A24="","""",'Drug &amp; Supply Prices'!D24))</f>
        <v/>
      </c>
      <c r="K81" t="str">
        <f>IF(H81="","",IF('Drug &amp; Supply Prices'!A24="","",'Drug &amp; Supply Prices'!E24))</f>
        <v/>
      </c>
      <c r="L81" s="350"/>
    </row>
    <row r="82" spans="1:12" x14ac:dyDescent="0.3">
      <c r="A82" s="144" t="str">
        <f t="shared" ca="1" si="6"/>
        <v/>
      </c>
      <c r="B82" s="98" t="str">
        <f t="shared" ca="1" si="5"/>
        <v/>
      </c>
      <c r="G82">
        <f>IF(H82="",0,(MAX($G$1:G81)+1))</f>
        <v>0</v>
      </c>
      <c r="H82" t="str">
        <f>IF($C$1="","",IF('Drug &amp; Supply Prices'!E25="","",CONCATENATE('Drug &amp; Supply Prices'!A25,":")))</f>
        <v/>
      </c>
      <c r="I82" s="308" t="str">
        <f>IF(H82="","",IF('Drug &amp; Supply Prices'!A25="","",'Drug &amp; Supply Prices'!C25))</f>
        <v/>
      </c>
      <c r="J82" t="str">
        <f>IF(H82="","",IF('Drug &amp; Supply Prices'!A25="","""",'Drug &amp; Supply Prices'!D25))</f>
        <v/>
      </c>
      <c r="K82" t="str">
        <f>IF(H82="","",IF('Drug &amp; Supply Prices'!A25="","",'Drug &amp; Supply Prices'!E25))</f>
        <v/>
      </c>
      <c r="L82" s="350"/>
    </row>
    <row r="83" spans="1:12" x14ac:dyDescent="0.3">
      <c r="A83" s="144" t="str">
        <f t="shared" ca="1" si="6"/>
        <v/>
      </c>
      <c r="B83" s="98" t="str">
        <f t="shared" ca="1" si="5"/>
        <v/>
      </c>
      <c r="G83">
        <f>IF(H83="",0,(MAX($G$1:G82)+1))</f>
        <v>0</v>
      </c>
      <c r="H83" t="str">
        <f>IF($C$1="","",IF('Drug &amp; Supply Prices'!E26="","",CONCATENATE('Drug &amp; Supply Prices'!A26,":")))</f>
        <v/>
      </c>
      <c r="I83" s="308" t="str">
        <f>IF(H83="","",IF('Drug &amp; Supply Prices'!A26="","",'Drug &amp; Supply Prices'!C26))</f>
        <v/>
      </c>
      <c r="J83" t="str">
        <f>IF(H83="","",IF('Drug &amp; Supply Prices'!A26="","""",'Drug &amp; Supply Prices'!D26))</f>
        <v/>
      </c>
      <c r="K83" t="str">
        <f>IF(H83="","",IF('Drug &amp; Supply Prices'!A26="","",'Drug &amp; Supply Prices'!E26))</f>
        <v/>
      </c>
      <c r="L83" s="350"/>
    </row>
    <row r="84" spans="1:12" x14ac:dyDescent="0.3">
      <c r="A84" s="144" t="str">
        <f t="shared" ca="1" si="6"/>
        <v/>
      </c>
      <c r="B84" s="98" t="str">
        <f t="shared" ca="1" si="5"/>
        <v/>
      </c>
      <c r="G84">
        <f>IF(H84="",0,(MAX($G$1:G83)+1))</f>
        <v>0</v>
      </c>
      <c r="H84" t="str">
        <f>IF($C$1="","",IF('Drug &amp; Supply Prices'!E27="","",CONCATENATE('Drug &amp; Supply Prices'!A27,":")))</f>
        <v/>
      </c>
      <c r="I84" s="308" t="str">
        <f>IF(H84="","",IF('Drug &amp; Supply Prices'!A27="","",'Drug &amp; Supply Prices'!C27))</f>
        <v/>
      </c>
      <c r="J84" t="str">
        <f>IF(H84="","",IF('Drug &amp; Supply Prices'!A27="","""",'Drug &amp; Supply Prices'!D27))</f>
        <v/>
      </c>
      <c r="K84" t="str">
        <f>IF(H84="","",IF('Drug &amp; Supply Prices'!A27="","",'Drug &amp; Supply Prices'!E27))</f>
        <v/>
      </c>
      <c r="L84" s="350"/>
    </row>
    <row r="85" spans="1:12" x14ac:dyDescent="0.3">
      <c r="A85" s="144" t="str">
        <f t="shared" ca="1" si="6"/>
        <v/>
      </c>
      <c r="B85" s="98" t="str">
        <f t="shared" ca="1" si="5"/>
        <v/>
      </c>
      <c r="G85">
        <f>IF(H85="",0,(MAX($G$1:G84)+1))</f>
        <v>0</v>
      </c>
      <c r="H85" t="str">
        <f>IF($C$1="","",IF('Drug &amp; Supply Prices'!E28="","",CONCATENATE('Drug &amp; Supply Prices'!A28,":")))</f>
        <v/>
      </c>
      <c r="I85" s="308" t="str">
        <f>IF(H85="","",IF('Drug &amp; Supply Prices'!A28="","",'Drug &amp; Supply Prices'!C28))</f>
        <v/>
      </c>
      <c r="J85" t="str">
        <f>IF(H85="","",IF('Drug &amp; Supply Prices'!A28="","""",'Drug &amp; Supply Prices'!D28))</f>
        <v/>
      </c>
      <c r="K85" t="str">
        <f>IF(H85="","",IF('Drug &amp; Supply Prices'!A28="","",'Drug &amp; Supply Prices'!E28))</f>
        <v/>
      </c>
      <c r="L85" s="350"/>
    </row>
    <row r="86" spans="1:12" x14ac:dyDescent="0.3">
      <c r="A86" s="144" t="str">
        <f t="shared" ca="1" si="6"/>
        <v/>
      </c>
      <c r="B86" s="98" t="str">
        <f t="shared" ca="1" si="5"/>
        <v/>
      </c>
      <c r="G86">
        <f>IF(H86="",0,(MAX($G$1:G85)+1))</f>
        <v>0</v>
      </c>
      <c r="H86" t="str">
        <f>IF($C$1="","",IF('Drug &amp; Supply Prices'!E29="","",CONCATENATE('Drug &amp; Supply Prices'!A29,":")))</f>
        <v/>
      </c>
      <c r="I86" s="308" t="str">
        <f>IF(H86="","",IF('Drug &amp; Supply Prices'!A29="","",'Drug &amp; Supply Prices'!C29))</f>
        <v/>
      </c>
      <c r="J86" t="str">
        <f>IF(H86="","",IF('Drug &amp; Supply Prices'!A29="","""",'Drug &amp; Supply Prices'!D29))</f>
        <v/>
      </c>
      <c r="K86" t="str">
        <f>IF(H86="","",IF('Drug &amp; Supply Prices'!A29="","",'Drug &amp; Supply Prices'!E29))</f>
        <v/>
      </c>
      <c r="L86" s="350"/>
    </row>
    <row r="87" spans="1:12" x14ac:dyDescent="0.3">
      <c r="A87" s="144" t="str">
        <f t="shared" ca="1" si="6"/>
        <v/>
      </c>
      <c r="B87" s="98" t="str">
        <f t="shared" ca="1" si="5"/>
        <v/>
      </c>
      <c r="G87">
        <f>IF(H87="",0,(MAX($G$1:G86)+1))</f>
        <v>0</v>
      </c>
      <c r="H87" t="str">
        <f>IF($C$1="","",IF('Drug &amp; Supply Prices'!E30="","",CONCATENATE('Drug &amp; Supply Prices'!A30,":")))</f>
        <v/>
      </c>
      <c r="I87" s="308" t="str">
        <f>IF(H87="","",IF('Drug &amp; Supply Prices'!A30="","",'Drug &amp; Supply Prices'!C30))</f>
        <v/>
      </c>
      <c r="J87" t="str">
        <f>IF(H87="","",IF('Drug &amp; Supply Prices'!A30="","""",'Drug &amp; Supply Prices'!D30))</f>
        <v/>
      </c>
      <c r="K87" t="str">
        <f>IF(H87="","",IF('Drug &amp; Supply Prices'!A30="","",'Drug &amp; Supply Prices'!E30))</f>
        <v/>
      </c>
      <c r="L87" s="350"/>
    </row>
    <row r="88" spans="1:12" x14ac:dyDescent="0.3">
      <c r="A88" s="144" t="str">
        <f t="shared" ca="1" si="6"/>
        <v/>
      </c>
      <c r="B88" s="98" t="str">
        <f t="shared" ca="1" si="5"/>
        <v/>
      </c>
    </row>
    <row r="89" spans="1:12" x14ac:dyDescent="0.3">
      <c r="A89" s="144" t="str">
        <f t="shared" ca="1" si="6"/>
        <v/>
      </c>
      <c r="B89" s="98" t="str">
        <f t="shared" ca="1" si="5"/>
        <v/>
      </c>
    </row>
    <row r="90" spans="1:12" x14ac:dyDescent="0.3">
      <c r="A90" s="144" t="str">
        <f t="shared" ca="1" si="6"/>
        <v/>
      </c>
      <c r="B90" s="98" t="str">
        <f t="shared" ca="1" si="5"/>
        <v/>
      </c>
    </row>
    <row r="91" spans="1:12" x14ac:dyDescent="0.3">
      <c r="A91" s="144" t="str">
        <f t="shared" ca="1" si="6"/>
        <v/>
      </c>
      <c r="B91" s="98" t="str">
        <f t="shared" ca="1" si="5"/>
        <v/>
      </c>
    </row>
    <row r="92" spans="1:12" x14ac:dyDescent="0.3">
      <c r="A92" s="144" t="str">
        <f t="shared" ca="1" si="6"/>
        <v/>
      </c>
      <c r="B92" s="98" t="str">
        <f t="shared" ca="1" si="5"/>
        <v/>
      </c>
    </row>
    <row r="93" spans="1:12" x14ac:dyDescent="0.3">
      <c r="A93" s="144" t="str">
        <f t="shared" ca="1" si="6"/>
        <v/>
      </c>
      <c r="B93" s="98" t="str">
        <f t="shared" ca="1" si="5"/>
        <v/>
      </c>
    </row>
    <row r="94" spans="1:12" x14ac:dyDescent="0.3">
      <c r="A94" s="144" t="str">
        <f t="shared" ca="1" si="6"/>
        <v/>
      </c>
      <c r="B94" s="98" t="str">
        <f t="shared" ca="1" si="5"/>
        <v/>
      </c>
    </row>
    <row r="95" spans="1:12" x14ac:dyDescent="0.3">
      <c r="A95" s="144" t="str">
        <f t="shared" ca="1" si="6"/>
        <v/>
      </c>
      <c r="B95" s="98" t="str">
        <f t="shared" ca="1" si="5"/>
        <v/>
      </c>
    </row>
    <row r="96" spans="1:12" x14ac:dyDescent="0.3">
      <c r="A96" s="144" t="str">
        <f t="shared" ca="1" si="6"/>
        <v/>
      </c>
      <c r="B96" s="98" t="str">
        <f t="shared" ca="1" si="5"/>
        <v/>
      </c>
    </row>
    <row r="97" spans="1:2" x14ac:dyDescent="0.3">
      <c r="A97" s="144" t="str">
        <f t="shared" ca="1" si="6"/>
        <v/>
      </c>
      <c r="B97" s="98" t="str">
        <f t="shared" ca="1" si="5"/>
        <v/>
      </c>
    </row>
    <row r="98" spans="1:2" x14ac:dyDescent="0.3">
      <c r="A98" s="144" t="str">
        <f t="shared" ca="1" si="6"/>
        <v/>
      </c>
      <c r="B98" s="98" t="str">
        <f t="shared" ca="1" si="5"/>
        <v/>
      </c>
    </row>
    <row r="99" spans="1:2" x14ac:dyDescent="0.3">
      <c r="A99" s="144" t="str">
        <f t="shared" ca="1" si="6"/>
        <v/>
      </c>
      <c r="B99" s="98" t="str">
        <f t="shared" ca="1" si="5"/>
        <v/>
      </c>
    </row>
    <row r="100" spans="1:2" x14ac:dyDescent="0.3">
      <c r="A100" s="144" t="str">
        <f t="shared" ca="1" si="6"/>
        <v/>
      </c>
      <c r="B100" s="98" t="str">
        <f t="shared" ca="1" si="5"/>
        <v/>
      </c>
    </row>
  </sheetData>
  <sheetProtection algorithmName="SHA-512" hashValue="h3HKvvNXkUCs+lpQ9Wv2v8Btar7h2q4vfgaw/BCm8fDep+OQvADkG+sDggbCKNUer0CoTyoYk/bSmyhzNmXSvw==" saltValue="gBBOEo09ttBY9VC2GvHD5Q==" spinCount="100000" sheet="1" selectLockedCells="1" sort="0"/>
  <sortState xmlns:xlrd2="http://schemas.microsoft.com/office/spreadsheetml/2017/richdata2" ref="H1:K66">
    <sortCondition descending="1" ref="H1"/>
  </sortState>
  <mergeCells count="5">
    <mergeCell ref="C1:D1"/>
    <mergeCell ref="C3:D3"/>
    <mergeCell ref="S1:Z2"/>
    <mergeCell ref="C2:D2"/>
    <mergeCell ref="T4:U4"/>
  </mergeCells>
  <dataValidations count="1">
    <dataValidation type="list" allowBlank="1" showInputMessage="1" showErrorMessage="1" sqref="C1" xr:uid="{00000000-0002-0000-0800-000000000000}">
      <formula1>$R$1:$R$3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Protocol Cover Sheet</vt:lpstr>
      <vt:lpstr>Medications</vt:lpstr>
      <vt:lpstr>Start Calc</vt:lpstr>
      <vt:lpstr>Main Calc</vt:lpstr>
      <vt:lpstr>Initiation &amp; Maintenance</vt:lpstr>
      <vt:lpstr>Dispensing</vt:lpstr>
      <vt:lpstr>Manufacturing-Testing-Other</vt:lpstr>
      <vt:lpstr>Drug &amp; Supply Prices</vt:lpstr>
      <vt:lpstr>Estimate Details</vt:lpstr>
      <vt:lpstr>'Manufacturing-Testing-Other'!Print_Area</vt:lpstr>
    </vt:vector>
  </TitlesOfParts>
  <Company>PMACS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Molli, Charles A</cp:lastModifiedBy>
  <cp:lastPrinted>2023-06-29T15:24:57Z</cp:lastPrinted>
  <dcterms:created xsi:type="dcterms:W3CDTF">2019-06-10T15:45:18Z</dcterms:created>
  <dcterms:modified xsi:type="dcterms:W3CDTF">2025-01-13T21:16:24Z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