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V:\IDS\Estimate Template\Estimate Tool\"/>
    </mc:Choice>
  </mc:AlternateContent>
  <xr:revisionPtr revIDLastSave="0" documentId="13_ncr:1_{8634459F-AD87-4D32-8A1F-529DEC6A1BEE}" xr6:coauthVersionLast="47" xr6:coauthVersionMax="47" xr10:uidLastSave="{00000000-0000-0000-0000-000000000000}"/>
  <workbookProtection workbookAlgorithmName="SHA-512" workbookHashValue="6WyFI2KEiNjTIul7foY6ppjkWaGmGw09YTFHxETuM/z059o/lXiUoigitdCNGP79FleWqp1k5aYlhC2CgSDbmQ==" workbookSaltValue="QXvD/jCDyaBs/mlYBq2PDQ==" workbookSpinCount="100000" lockStructure="1"/>
  <bookViews>
    <workbookView xWindow="-108" yWindow="-108" windowWidth="23256" windowHeight="12576" tabRatio="948" xr2:uid="{00000000-000D-0000-FFFF-FFFF00000000}"/>
  </bookViews>
  <sheets>
    <sheet name="Instructions" sheetId="13" r:id="rId1"/>
    <sheet name="Cover Sheet &amp; Medications" sheetId="1" r:id="rId2"/>
    <sheet name="Initiation &amp; Maintenance" sheetId="17" r:id="rId3"/>
    <sheet name="Dispensing" sheetId="15" r:id="rId4"/>
    <sheet name="Manufacturing-Testing-Other" sheetId="2" r:id="rId5"/>
    <sheet name="Estimate Details" sheetId="11" state="hidden" r:id="rId6"/>
    <sheet name="IDS Admin Dispensing" sheetId="19" state="hidden" r:id="rId7"/>
    <sheet name="Drug &amp; Supply Prices" sheetId="12" state="hidden" r:id="rId8"/>
    <sheet name="Start Calc" sheetId="4" state="hidden" r:id="rId9"/>
    <sheet name="Main Calc" sheetId="8" state="hidden" r:id="rId10"/>
  </sheets>
  <definedNames>
    <definedName name="_xlnm.Print_Area" localSheetId="4">'Manufacturing-Testing-Other'!$A$1:$H$52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2" l="1"/>
  <c r="AA22" i="19"/>
  <c r="AA21" i="19"/>
  <c r="AA20" i="19"/>
  <c r="AA18" i="19"/>
  <c r="AA17" i="19"/>
  <c r="AE22" i="19"/>
  <c r="AE21" i="19"/>
  <c r="AE20" i="19"/>
  <c r="AE18" i="19"/>
  <c r="AE17" i="19"/>
  <c r="AA15" i="19"/>
  <c r="AE15" i="19"/>
  <c r="AA13" i="19"/>
  <c r="AA12" i="19"/>
  <c r="AE13" i="19"/>
  <c r="AE12" i="19"/>
  <c r="AA4" i="19"/>
  <c r="AE4" i="19"/>
  <c r="AE11" i="19"/>
  <c r="AB11" i="19"/>
  <c r="AA11" i="19" s="1"/>
  <c r="AF11" i="19"/>
  <c r="AE19" i="19" l="1"/>
  <c r="AE23" i="19" s="1"/>
  <c r="AA19" i="19"/>
  <c r="AC8" i="19" s="1"/>
  <c r="AG8" i="19" l="1"/>
  <c r="AH55" i="19"/>
  <c r="AH54" i="19"/>
  <c r="AH53" i="19"/>
  <c r="AH52" i="19"/>
  <c r="AH51" i="19"/>
  <c r="AH50" i="19"/>
  <c r="AH49" i="19"/>
  <c r="AH48" i="19"/>
  <c r="AH47" i="19"/>
  <c r="AH46" i="19"/>
  <c r="AH45" i="19"/>
  <c r="AH44" i="19"/>
  <c r="AH43" i="19"/>
  <c r="AH42" i="19"/>
  <c r="AD55" i="19"/>
  <c r="AD54" i="19"/>
  <c r="AD53" i="19"/>
  <c r="AD52" i="19"/>
  <c r="AD51" i="19"/>
  <c r="AD50" i="19"/>
  <c r="AD49" i="19"/>
  <c r="AD48" i="19"/>
  <c r="AD47" i="19"/>
  <c r="AD46" i="19"/>
  <c r="AD45" i="19"/>
  <c r="AD44" i="19"/>
  <c r="AD43" i="19"/>
  <c r="AD42" i="19"/>
  <c r="Z55" i="19"/>
  <c r="Z54" i="19"/>
  <c r="Z53" i="19"/>
  <c r="Z52" i="19"/>
  <c r="Z51" i="19"/>
  <c r="Z50" i="19"/>
  <c r="Z49" i="19"/>
  <c r="Z48" i="19"/>
  <c r="Z47" i="19"/>
  <c r="Z46" i="19"/>
  <c r="Z45" i="19"/>
  <c r="Z44" i="19"/>
  <c r="Z43" i="19"/>
  <c r="Z42" i="19"/>
  <c r="V55" i="19"/>
  <c r="V54" i="19"/>
  <c r="V53" i="19"/>
  <c r="V52" i="19"/>
  <c r="V51" i="19"/>
  <c r="V50" i="19"/>
  <c r="V49" i="19"/>
  <c r="V48" i="19"/>
  <c r="V47" i="19"/>
  <c r="V46" i="19"/>
  <c r="V45" i="19"/>
  <c r="V44" i="19"/>
  <c r="V43" i="19"/>
  <c r="V42" i="19"/>
  <c r="R55" i="19"/>
  <c r="R54" i="19"/>
  <c r="R53" i="19"/>
  <c r="R52" i="19"/>
  <c r="R51" i="19"/>
  <c r="R50" i="19"/>
  <c r="R49" i="19"/>
  <c r="R48" i="19"/>
  <c r="R47" i="19"/>
  <c r="R46" i="19"/>
  <c r="R45" i="19"/>
  <c r="R44" i="19"/>
  <c r="R43" i="19"/>
  <c r="R42" i="19"/>
  <c r="N55" i="19"/>
  <c r="N54" i="19"/>
  <c r="N53" i="19"/>
  <c r="N52" i="19"/>
  <c r="N51" i="19"/>
  <c r="N50" i="19"/>
  <c r="N49" i="19"/>
  <c r="N48" i="19"/>
  <c r="N47" i="19"/>
  <c r="N46" i="19"/>
  <c r="N45" i="19"/>
  <c r="N44" i="19"/>
  <c r="N43" i="19"/>
  <c r="N42" i="19"/>
  <c r="J55" i="19"/>
  <c r="J54" i="19"/>
  <c r="J53" i="19"/>
  <c r="J52" i="19"/>
  <c r="J51" i="19"/>
  <c r="J50" i="19"/>
  <c r="J49" i="19"/>
  <c r="J48" i="19"/>
  <c r="J47" i="19"/>
  <c r="J46" i="19"/>
  <c r="J45" i="19"/>
  <c r="J44" i="19"/>
  <c r="J43" i="19"/>
  <c r="J42" i="19"/>
  <c r="F55" i="19"/>
  <c r="F54" i="19"/>
  <c r="F53" i="19"/>
  <c r="F52" i="19"/>
  <c r="F51" i="19"/>
  <c r="F50" i="19"/>
  <c r="F49" i="19"/>
  <c r="F48" i="19"/>
  <c r="F47" i="19"/>
  <c r="F46" i="19"/>
  <c r="F45" i="19"/>
  <c r="F44" i="19"/>
  <c r="F43" i="19"/>
  <c r="F42" i="19"/>
  <c r="B43" i="19"/>
  <c r="B44" i="19"/>
  <c r="B45" i="19"/>
  <c r="B46" i="19"/>
  <c r="B47" i="19"/>
  <c r="B48" i="19"/>
  <c r="B49" i="19"/>
  <c r="B50" i="19"/>
  <c r="B51" i="19"/>
  <c r="B52" i="19"/>
  <c r="B53" i="19"/>
  <c r="B54" i="19"/>
  <c r="B55" i="19"/>
  <c r="B42" i="19"/>
  <c r="AH40" i="19"/>
  <c r="AD40" i="19"/>
  <c r="Z40" i="19"/>
  <c r="V40" i="19"/>
  <c r="R40" i="19"/>
  <c r="N40" i="19"/>
  <c r="J40" i="19"/>
  <c r="F40" i="19"/>
  <c r="B40" i="19"/>
  <c r="AF11" i="15" l="1"/>
  <c r="AG8" i="15"/>
  <c r="AF8" i="15"/>
  <c r="AB11" i="15"/>
  <c r="AC8" i="15"/>
  <c r="AB8" i="15"/>
  <c r="X9" i="15"/>
  <c r="X8" i="15"/>
  <c r="T11" i="15"/>
  <c r="H11" i="15"/>
  <c r="AE22" i="15" l="1"/>
  <c r="AE21" i="15"/>
  <c r="AE20" i="15"/>
  <c r="AE19" i="15"/>
  <c r="AE18" i="15"/>
  <c r="AE17" i="15"/>
  <c r="AE15" i="15"/>
  <c r="AE13" i="15"/>
  <c r="AE12" i="15"/>
  <c r="AA22" i="15"/>
  <c r="AA21" i="15"/>
  <c r="AA20" i="15"/>
  <c r="AA19" i="15"/>
  <c r="AA18" i="15"/>
  <c r="AA17" i="15"/>
  <c r="AA15" i="15"/>
  <c r="AA13" i="15"/>
  <c r="AA12" i="15"/>
  <c r="AE11" i="15"/>
  <c r="AA11" i="15"/>
  <c r="F11" i="15"/>
  <c r="AE4" i="15"/>
  <c r="AA4" i="15"/>
  <c r="AJ5" i="19"/>
  <c r="AF5" i="19"/>
  <c r="AB5" i="19"/>
  <c r="X5" i="19"/>
  <c r="X5" i="15" s="1"/>
  <c r="W5" i="15" s="1"/>
  <c r="T5" i="19"/>
  <c r="T5" i="15" s="1"/>
  <c r="S5" i="15" s="1"/>
  <c r="P5" i="19"/>
  <c r="L5" i="19"/>
  <c r="H5" i="19"/>
  <c r="AH6" i="15"/>
  <c r="AH7" i="15"/>
  <c r="AH8" i="15"/>
  <c r="AH9" i="15"/>
  <c r="AH10" i="15"/>
  <c r="AH11" i="15"/>
  <c r="AH12" i="15"/>
  <c r="AH13" i="15"/>
  <c r="AH14" i="15"/>
  <c r="AH15" i="15"/>
  <c r="AH16" i="15"/>
  <c r="AH17" i="15"/>
  <c r="AH18" i="15"/>
  <c r="AH19" i="15"/>
  <c r="AH20" i="15"/>
  <c r="AH21" i="15"/>
  <c r="AH22" i="15"/>
  <c r="AH5" i="15"/>
  <c r="AD6" i="15"/>
  <c r="AD7" i="15"/>
  <c r="AD8" i="15"/>
  <c r="AD9" i="15"/>
  <c r="AD10" i="15"/>
  <c r="AD11" i="15"/>
  <c r="AD12" i="15"/>
  <c r="AD13" i="15"/>
  <c r="AD14" i="15"/>
  <c r="AD15" i="15"/>
  <c r="AD16" i="15"/>
  <c r="AD17" i="15"/>
  <c r="AD18" i="15"/>
  <c r="AD19" i="15"/>
  <c r="AD20" i="15"/>
  <c r="AD21" i="15"/>
  <c r="AD22" i="15"/>
  <c r="AD5" i="15"/>
  <c r="Z6" i="15"/>
  <c r="Z7" i="15"/>
  <c r="Z8" i="15"/>
  <c r="Z9" i="15"/>
  <c r="Z10" i="15"/>
  <c r="Z11" i="15"/>
  <c r="Z12" i="15"/>
  <c r="Z13" i="15"/>
  <c r="Z14" i="15"/>
  <c r="Z15" i="15"/>
  <c r="Z16" i="15"/>
  <c r="Z17" i="15"/>
  <c r="Z18" i="15"/>
  <c r="Z19" i="15"/>
  <c r="Z20" i="15"/>
  <c r="Z21" i="15"/>
  <c r="Z22" i="15"/>
  <c r="Z5" i="15"/>
  <c r="V6" i="15"/>
  <c r="V7" i="15"/>
  <c r="V8" i="15"/>
  <c r="V9" i="15"/>
  <c r="V10" i="15"/>
  <c r="V11" i="15"/>
  <c r="V12" i="15"/>
  <c r="V13" i="15"/>
  <c r="V14" i="15"/>
  <c r="V15" i="15"/>
  <c r="V16" i="15"/>
  <c r="V17" i="15"/>
  <c r="V18" i="15"/>
  <c r="V19" i="15"/>
  <c r="V20" i="15"/>
  <c r="V21" i="15"/>
  <c r="V22" i="15"/>
  <c r="V5" i="15"/>
  <c r="R6" i="15"/>
  <c r="R7" i="15"/>
  <c r="R8" i="15"/>
  <c r="R9" i="15"/>
  <c r="R10" i="15"/>
  <c r="R11" i="15"/>
  <c r="R12" i="15"/>
  <c r="R13" i="15"/>
  <c r="R14" i="15"/>
  <c r="R15" i="15"/>
  <c r="R16" i="15"/>
  <c r="R17" i="15"/>
  <c r="R18" i="15"/>
  <c r="R19" i="15"/>
  <c r="R20" i="15"/>
  <c r="R21" i="15"/>
  <c r="R22" i="15"/>
  <c r="R5" i="15"/>
  <c r="N6" i="15"/>
  <c r="N7" i="15"/>
  <c r="N8" i="15"/>
  <c r="N9" i="15"/>
  <c r="N10" i="15"/>
  <c r="N11" i="15"/>
  <c r="N12" i="15"/>
  <c r="N13" i="15"/>
  <c r="N14" i="15"/>
  <c r="N15" i="15"/>
  <c r="N16" i="15"/>
  <c r="N17" i="15"/>
  <c r="N18" i="15"/>
  <c r="N19" i="15"/>
  <c r="N20" i="15"/>
  <c r="N21" i="15"/>
  <c r="N22" i="15"/>
  <c r="N5" i="15"/>
  <c r="J6" i="15"/>
  <c r="J7" i="15"/>
  <c r="J8" i="15"/>
  <c r="J9" i="15"/>
  <c r="J10" i="15"/>
  <c r="J11" i="15"/>
  <c r="J12" i="15"/>
  <c r="J13" i="15"/>
  <c r="J14" i="15"/>
  <c r="J15" i="15"/>
  <c r="J16" i="15"/>
  <c r="J17" i="15"/>
  <c r="J18" i="15"/>
  <c r="J19" i="15"/>
  <c r="J20" i="15"/>
  <c r="J21" i="15"/>
  <c r="J22" i="15"/>
  <c r="J5" i="15"/>
  <c r="F6" i="15"/>
  <c r="F7" i="15"/>
  <c r="F8" i="15"/>
  <c r="F9" i="15"/>
  <c r="F10" i="15"/>
  <c r="F12" i="15"/>
  <c r="F13" i="15"/>
  <c r="F14" i="15"/>
  <c r="F15" i="15"/>
  <c r="F16" i="15"/>
  <c r="F17" i="15"/>
  <c r="F18" i="15"/>
  <c r="F19" i="15"/>
  <c r="F20" i="15"/>
  <c r="F21" i="15"/>
  <c r="F22" i="15"/>
  <c r="F5" i="15"/>
  <c r="B11" i="15"/>
  <c r="B12" i="15"/>
  <c r="B13" i="15"/>
  <c r="B14" i="15"/>
  <c r="B15" i="15"/>
  <c r="B16" i="15"/>
  <c r="B17" i="15"/>
  <c r="B18" i="15"/>
  <c r="B20" i="15"/>
  <c r="B21" i="15"/>
  <c r="B22" i="15"/>
  <c r="B6" i="15"/>
  <c r="B7" i="15"/>
  <c r="B8" i="15"/>
  <c r="B9" i="15"/>
  <c r="B10" i="15"/>
  <c r="B5" i="15"/>
  <c r="AH4" i="19"/>
  <c r="AD4" i="19"/>
  <c r="Z4" i="19"/>
  <c r="V4" i="19"/>
  <c r="R4" i="19"/>
  <c r="N4" i="19"/>
  <c r="J4" i="19"/>
  <c r="F4" i="19"/>
  <c r="B4" i="19"/>
  <c r="C3" i="19"/>
  <c r="D3" i="19"/>
  <c r="E3" i="19"/>
  <c r="F3" i="19"/>
  <c r="G3" i="19"/>
  <c r="H3" i="19"/>
  <c r="I3" i="19"/>
  <c r="J3" i="19"/>
  <c r="K3" i="19"/>
  <c r="L3" i="19"/>
  <c r="M3" i="19"/>
  <c r="N3" i="19"/>
  <c r="O3" i="19"/>
  <c r="P3" i="19"/>
  <c r="Q3" i="19"/>
  <c r="R3" i="19"/>
  <c r="S3" i="19"/>
  <c r="T3" i="19"/>
  <c r="U3" i="19"/>
  <c r="V3" i="19"/>
  <c r="W3" i="19"/>
  <c r="X3" i="19"/>
  <c r="Y3" i="19"/>
  <c r="Z3" i="19"/>
  <c r="AA3" i="19"/>
  <c r="AB3" i="19"/>
  <c r="AC3" i="19"/>
  <c r="AD3" i="19"/>
  <c r="AE3" i="19"/>
  <c r="AF3" i="19"/>
  <c r="AG3" i="19"/>
  <c r="AH3" i="19"/>
  <c r="G2" i="19"/>
  <c r="H2" i="19"/>
  <c r="I2" i="19"/>
  <c r="J2" i="19"/>
  <c r="K2" i="19"/>
  <c r="L2" i="19"/>
  <c r="M2" i="19"/>
  <c r="N2" i="19"/>
  <c r="O2" i="19"/>
  <c r="P2" i="19"/>
  <c r="Q2" i="19"/>
  <c r="R2" i="19"/>
  <c r="S2" i="19"/>
  <c r="T2" i="19"/>
  <c r="U2" i="19"/>
  <c r="V2" i="19"/>
  <c r="W2" i="19"/>
  <c r="X2" i="19"/>
  <c r="Y2" i="19"/>
  <c r="Z2" i="19"/>
  <c r="AA2" i="19"/>
  <c r="AB2" i="19"/>
  <c r="AC2" i="19"/>
  <c r="AD2" i="19"/>
  <c r="AE2" i="19"/>
  <c r="AF2" i="19"/>
  <c r="AG2" i="19"/>
  <c r="AH2" i="19"/>
  <c r="C2" i="19"/>
  <c r="D2" i="19"/>
  <c r="E2" i="19"/>
  <c r="F2" i="19"/>
  <c r="B2" i="19"/>
  <c r="B3" i="19"/>
  <c r="AJ5" i="15" l="1"/>
  <c r="AI5" i="15" s="1"/>
  <c r="P5" i="15"/>
  <c r="O5" i="15" s="1"/>
  <c r="G5" i="19"/>
  <c r="G39" i="19"/>
  <c r="AG5" i="19"/>
  <c r="AG5" i="15" s="1"/>
  <c r="AF9" i="19"/>
  <c r="AC5" i="19"/>
  <c r="AC5" i="15" s="1"/>
  <c r="AB9" i="19"/>
  <c r="H5" i="15"/>
  <c r="G5" i="15" s="1"/>
  <c r="L5" i="15"/>
  <c r="K5" i="15" s="1"/>
  <c r="AB5" i="15"/>
  <c r="AA5" i="15" s="1"/>
  <c r="AF5" i="15"/>
  <c r="AE5" i="15" s="1"/>
  <c r="AI5" i="19"/>
  <c r="AE5" i="19"/>
  <c r="AA5" i="19"/>
  <c r="W5" i="19"/>
  <c r="S5" i="19"/>
  <c r="O5" i="19"/>
  <c r="K5" i="19"/>
  <c r="AI22" i="19"/>
  <c r="AI22" i="15" s="1"/>
  <c r="W22" i="19"/>
  <c r="W22" i="15" s="1"/>
  <c r="S22" i="19"/>
  <c r="S22" i="15" s="1"/>
  <c r="O22" i="19"/>
  <c r="O22" i="15" s="1"/>
  <c r="K22" i="19"/>
  <c r="K22" i="15" s="1"/>
  <c r="G22" i="19"/>
  <c r="G22" i="15" s="1"/>
  <c r="C22" i="19"/>
  <c r="C22" i="15" s="1"/>
  <c r="AI21" i="19"/>
  <c r="AI21" i="15" s="1"/>
  <c r="W21" i="19"/>
  <c r="W21" i="15" s="1"/>
  <c r="S21" i="19"/>
  <c r="S21" i="15" s="1"/>
  <c r="O21" i="19"/>
  <c r="O21" i="15" s="1"/>
  <c r="K21" i="19"/>
  <c r="K21" i="15" s="1"/>
  <c r="G21" i="19"/>
  <c r="G21" i="15" s="1"/>
  <c r="C21" i="19"/>
  <c r="C21" i="15" s="1"/>
  <c r="AI20" i="19"/>
  <c r="AI20" i="15" s="1"/>
  <c r="W20" i="19"/>
  <c r="W20" i="15" s="1"/>
  <c r="S20" i="19"/>
  <c r="S20" i="15" s="1"/>
  <c r="O20" i="19"/>
  <c r="O20" i="15" s="1"/>
  <c r="K20" i="19"/>
  <c r="K20" i="15" s="1"/>
  <c r="G20" i="19"/>
  <c r="G20" i="15" s="1"/>
  <c r="C20" i="19"/>
  <c r="C20" i="15" s="1"/>
  <c r="AI18" i="19"/>
  <c r="AI18" i="15" s="1"/>
  <c r="W18" i="19"/>
  <c r="W18" i="15" s="1"/>
  <c r="S18" i="19"/>
  <c r="S18" i="15" s="1"/>
  <c r="O18" i="19"/>
  <c r="O18" i="15" s="1"/>
  <c r="K18" i="19"/>
  <c r="K18" i="15" s="1"/>
  <c r="G18" i="19"/>
  <c r="G18" i="15" s="1"/>
  <c r="C18" i="19"/>
  <c r="C18" i="15" s="1"/>
  <c r="AI17" i="19"/>
  <c r="AI17" i="15" s="1"/>
  <c r="W17" i="19"/>
  <c r="W17" i="15" s="1"/>
  <c r="S17" i="19"/>
  <c r="S17" i="15" s="1"/>
  <c r="O17" i="19"/>
  <c r="O17" i="15" s="1"/>
  <c r="K17" i="19"/>
  <c r="K17" i="15" s="1"/>
  <c r="G17" i="19"/>
  <c r="G17" i="15" s="1"/>
  <c r="C17" i="19"/>
  <c r="C17" i="15" s="1"/>
  <c r="AI15" i="19"/>
  <c r="AI15" i="15" s="1"/>
  <c r="W15" i="19"/>
  <c r="W15" i="15" s="1"/>
  <c r="S15" i="19"/>
  <c r="S15" i="15" s="1"/>
  <c r="O15" i="19"/>
  <c r="O15" i="15" s="1"/>
  <c r="K15" i="19"/>
  <c r="K15" i="15" s="1"/>
  <c r="G15" i="19"/>
  <c r="G15" i="15" s="1"/>
  <c r="C15" i="19"/>
  <c r="C15" i="15" s="1"/>
  <c r="AI13" i="19"/>
  <c r="AI13" i="15" s="1"/>
  <c r="W13" i="19"/>
  <c r="W13" i="15" s="1"/>
  <c r="S13" i="19"/>
  <c r="S13" i="15" s="1"/>
  <c r="O13" i="19"/>
  <c r="O13" i="15" s="1"/>
  <c r="K13" i="19"/>
  <c r="K13" i="15" s="1"/>
  <c r="G13" i="19"/>
  <c r="G13" i="15" s="1"/>
  <c r="C13" i="19"/>
  <c r="C13" i="15" s="1"/>
  <c r="AI12" i="19"/>
  <c r="AE23" i="15"/>
  <c r="W12" i="19"/>
  <c r="S12" i="19"/>
  <c r="S12" i="15" s="1"/>
  <c r="O12" i="19"/>
  <c r="O12" i="15" s="1"/>
  <c r="K12" i="19"/>
  <c r="K12" i="15" s="1"/>
  <c r="G12" i="19"/>
  <c r="G12" i="15" s="1"/>
  <c r="C12" i="19"/>
  <c r="C12" i="15" s="1"/>
  <c r="AJ11" i="19"/>
  <c r="X11" i="19"/>
  <c r="W39" i="19" s="1"/>
  <c r="T11" i="19"/>
  <c r="P11" i="19"/>
  <c r="L11" i="19"/>
  <c r="H11" i="19"/>
  <c r="G11" i="19"/>
  <c r="G11" i="15" s="1"/>
  <c r="D11" i="19"/>
  <c r="D11" i="15" s="1"/>
  <c r="AJ8" i="19"/>
  <c r="AJ8" i="15" s="1"/>
  <c r="X8" i="19"/>
  <c r="T8" i="19"/>
  <c r="T8" i="15" s="1"/>
  <c r="P8" i="19"/>
  <c r="P8" i="15" s="1"/>
  <c r="L8" i="19"/>
  <c r="L8" i="15" s="1"/>
  <c r="H8" i="19"/>
  <c r="H8" i="15" s="1"/>
  <c r="D8" i="19"/>
  <c r="D8" i="15" s="1"/>
  <c r="P9" i="19"/>
  <c r="P9" i="15" s="1"/>
  <c r="L9" i="19"/>
  <c r="L9" i="15" s="1"/>
  <c r="H9" i="19"/>
  <c r="D5" i="19"/>
  <c r="AI4" i="19"/>
  <c r="AI4" i="15" s="1"/>
  <c r="W4" i="19"/>
  <c r="W4" i="15" s="1"/>
  <c r="S4" i="19"/>
  <c r="S4" i="15" s="1"/>
  <c r="O4" i="19"/>
  <c r="O4" i="15" s="1"/>
  <c r="K4" i="19"/>
  <c r="K4" i="15" s="1"/>
  <c r="G4" i="19"/>
  <c r="G4" i="15" s="1"/>
  <c r="C4" i="19"/>
  <c r="C4" i="15" s="1"/>
  <c r="X38" i="1"/>
  <c r="W38" i="1"/>
  <c r="V38" i="1"/>
  <c r="P38" i="1"/>
  <c r="O38" i="1"/>
  <c r="X37" i="1"/>
  <c r="W37" i="1"/>
  <c r="V37" i="1"/>
  <c r="P37" i="1"/>
  <c r="O37" i="1"/>
  <c r="X36" i="1"/>
  <c r="W36" i="1"/>
  <c r="V36" i="1"/>
  <c r="P36" i="1"/>
  <c r="O36" i="1"/>
  <c r="X35" i="1"/>
  <c r="W35" i="1"/>
  <c r="V35" i="1"/>
  <c r="P35" i="1"/>
  <c r="O35" i="1"/>
  <c r="X34" i="1"/>
  <c r="W34" i="1"/>
  <c r="V34" i="1"/>
  <c r="P34" i="1"/>
  <c r="O34" i="1"/>
  <c r="X33" i="1"/>
  <c r="W33" i="1"/>
  <c r="V33" i="1"/>
  <c r="P33" i="1"/>
  <c r="O33" i="1"/>
  <c r="X32" i="1"/>
  <c r="W32" i="1"/>
  <c r="V32" i="1"/>
  <c r="P32" i="1"/>
  <c r="O32" i="1"/>
  <c r="X31" i="1"/>
  <c r="W31" i="1"/>
  <c r="V31" i="1"/>
  <c r="P31" i="1"/>
  <c r="O31" i="1"/>
  <c r="X30" i="1"/>
  <c r="W30" i="1"/>
  <c r="V30" i="1"/>
  <c r="P30" i="1"/>
  <c r="O30" i="1"/>
  <c r="AE39" i="19" l="1"/>
  <c r="AG9" i="19"/>
  <c r="W12" i="15"/>
  <c r="K39" i="19"/>
  <c r="G9" i="19"/>
  <c r="G9" i="15" s="1"/>
  <c r="H9" i="15"/>
  <c r="C39" i="19"/>
  <c r="AE9" i="19"/>
  <c r="AE9" i="15" s="1"/>
  <c r="AF9" i="15"/>
  <c r="AE39" i="15" s="1"/>
  <c r="AA9" i="19"/>
  <c r="AA9" i="15" s="1"/>
  <c r="AB9" i="15"/>
  <c r="K11" i="19"/>
  <c r="K11" i="15" s="1"/>
  <c r="L11" i="15"/>
  <c r="AI11" i="19"/>
  <c r="AI11" i="15" s="1"/>
  <c r="AJ11" i="15"/>
  <c r="W11" i="19"/>
  <c r="W11" i="15" s="1"/>
  <c r="X11" i="15"/>
  <c r="O11" i="19"/>
  <c r="O11" i="15" s="1"/>
  <c r="P11" i="15"/>
  <c r="AI19" i="19"/>
  <c r="AI19" i="15" s="1"/>
  <c r="AI12" i="15"/>
  <c r="C5" i="19"/>
  <c r="D5" i="15"/>
  <c r="C19" i="19"/>
  <c r="S19" i="19"/>
  <c r="S19" i="15" s="1"/>
  <c r="O19" i="19"/>
  <c r="G19" i="19"/>
  <c r="G23" i="19" s="1"/>
  <c r="C11" i="19"/>
  <c r="C11" i="15" s="1"/>
  <c r="O9" i="19"/>
  <c r="K9" i="19"/>
  <c r="K9" i="15" s="1"/>
  <c r="T9" i="19"/>
  <c r="K19" i="19"/>
  <c r="AA23" i="19"/>
  <c r="AA39" i="19" s="1"/>
  <c r="S11" i="19"/>
  <c r="S11" i="15" s="1"/>
  <c r="X9" i="19"/>
  <c r="W19" i="19"/>
  <c r="W23" i="19" s="1"/>
  <c r="D9" i="19"/>
  <c r="AJ9" i="19"/>
  <c r="Q32" i="1"/>
  <c r="Q36" i="1"/>
  <c r="Q35" i="1"/>
  <c r="Q38" i="1"/>
  <c r="Q34" i="1"/>
  <c r="Q33" i="1"/>
  <c r="Q37" i="1"/>
  <c r="L37" i="1" s="1"/>
  <c r="Q31" i="1"/>
  <c r="Q30" i="1"/>
  <c r="L30" i="1" s="1"/>
  <c r="X39" i="1"/>
  <c r="G40" i="11"/>
  <c r="G41" i="11"/>
  <c r="G42" i="11"/>
  <c r="G43" i="11"/>
  <c r="G44" i="11"/>
  <c r="G46" i="11"/>
  <c r="G47" i="11"/>
  <c r="G48" i="11"/>
  <c r="G49" i="11"/>
  <c r="G50" i="11"/>
  <c r="G51" i="11"/>
  <c r="G52" i="11"/>
  <c r="G53" i="11"/>
  <c r="G54" i="11"/>
  <c r="G55" i="11"/>
  <c r="G56" i="11"/>
  <c r="G57" i="11"/>
  <c r="G58" i="11"/>
  <c r="G59" i="11"/>
  <c r="G60" i="11"/>
  <c r="Q6" i="2"/>
  <c r="R6" i="2"/>
  <c r="R3" i="2"/>
  <c r="R4" i="2"/>
  <c r="R5" i="2"/>
  <c r="R7" i="2"/>
  <c r="R8" i="2"/>
  <c r="R9" i="2"/>
  <c r="R10" i="2"/>
  <c r="R11" i="2"/>
  <c r="R12" i="2"/>
  <c r="R13" i="2"/>
  <c r="R14" i="2"/>
  <c r="R15" i="2"/>
  <c r="R2" i="2"/>
  <c r="Q3" i="2"/>
  <c r="Q4" i="2"/>
  <c r="Q5" i="2"/>
  <c r="Q7" i="2"/>
  <c r="Q8" i="2"/>
  <c r="Q9" i="2"/>
  <c r="Q10" i="2"/>
  <c r="Q11" i="2"/>
  <c r="Q12" i="2"/>
  <c r="Q13" i="2"/>
  <c r="Q14" i="2"/>
  <c r="Q15" i="2"/>
  <c r="Q2" i="2"/>
  <c r="T9" i="15" l="1"/>
  <c r="S39" i="19"/>
  <c r="G8" i="19"/>
  <c r="G8" i="15" s="1"/>
  <c r="D9" i="15"/>
  <c r="AE8" i="19"/>
  <c r="AE8" i="15" s="1"/>
  <c r="AA23" i="15"/>
  <c r="AA39" i="15" s="1"/>
  <c r="AC11" i="19"/>
  <c r="AA8" i="19"/>
  <c r="AK8" i="19"/>
  <c r="AK5" i="19" s="1"/>
  <c r="AK5" i="15" s="1"/>
  <c r="AJ9" i="15"/>
  <c r="O7" i="17"/>
  <c r="N7" i="17"/>
  <c r="I11" i="19"/>
  <c r="I11" i="15" s="1"/>
  <c r="G23" i="15"/>
  <c r="Y8" i="19"/>
  <c r="W19" i="15"/>
  <c r="K8" i="19"/>
  <c r="K8" i="15" s="1"/>
  <c r="G39" i="15"/>
  <c r="Q8" i="19"/>
  <c r="O39" i="19" s="1"/>
  <c r="O19" i="15"/>
  <c r="O8" i="19"/>
  <c r="O9" i="15"/>
  <c r="K23" i="19"/>
  <c r="K23" i="15" s="1"/>
  <c r="K39" i="15" s="1"/>
  <c r="K19" i="15"/>
  <c r="U8" i="19"/>
  <c r="I8" i="19"/>
  <c r="G19" i="15"/>
  <c r="S23" i="19"/>
  <c r="U9" i="19" s="1"/>
  <c r="U9" i="15" s="1"/>
  <c r="AI23" i="19"/>
  <c r="AI39" i="19" s="1"/>
  <c r="E8" i="19"/>
  <c r="C19" i="15"/>
  <c r="I9" i="19"/>
  <c r="I9" i="15" s="1"/>
  <c r="C23" i="19"/>
  <c r="O23" i="19"/>
  <c r="M8" i="19"/>
  <c r="S9" i="19"/>
  <c r="AI9" i="19"/>
  <c r="C9" i="19"/>
  <c r="W9" i="19"/>
  <c r="L32" i="1"/>
  <c r="L31" i="1"/>
  <c r="L36" i="1"/>
  <c r="L38" i="1"/>
  <c r="L35" i="1"/>
  <c r="L34" i="1"/>
  <c r="L33" i="1"/>
  <c r="R30" i="1"/>
  <c r="R31" i="1" s="1"/>
  <c r="F13" i="4"/>
  <c r="C13" i="4"/>
  <c r="S31" i="1" l="1"/>
  <c r="T31" i="1"/>
  <c r="U31" i="1"/>
  <c r="AK8" i="15"/>
  <c r="AA8" i="15"/>
  <c r="E5" i="19"/>
  <c r="E5" i="15" s="1"/>
  <c r="E8" i="15"/>
  <c r="AC11" i="15"/>
  <c r="AC9" i="19"/>
  <c r="AC9" i="15" s="1"/>
  <c r="AG11" i="19"/>
  <c r="AG11" i="15" s="1"/>
  <c r="AG9" i="15"/>
  <c r="AD38" i="15" s="1"/>
  <c r="AK9" i="19"/>
  <c r="AK9" i="15" s="1"/>
  <c r="I5" i="19"/>
  <c r="I8" i="15"/>
  <c r="M5" i="19"/>
  <c r="M5" i="15" s="1"/>
  <c r="M8" i="15"/>
  <c r="Y5" i="19"/>
  <c r="Y5" i="15" s="1"/>
  <c r="Y8" i="15"/>
  <c r="U5" i="19"/>
  <c r="U5" i="15" s="1"/>
  <c r="U8" i="15"/>
  <c r="O23" i="15"/>
  <c r="O39" i="15" s="1"/>
  <c r="Q5" i="19"/>
  <c r="Q5" i="15" s="1"/>
  <c r="Q8" i="15"/>
  <c r="M11" i="19"/>
  <c r="M11" i="15" s="1"/>
  <c r="C8" i="19"/>
  <c r="C9" i="15"/>
  <c r="M9" i="19"/>
  <c r="E11" i="19"/>
  <c r="E11" i="15" s="1"/>
  <c r="C23" i="15"/>
  <c r="AI8" i="19"/>
  <c r="AI9" i="15"/>
  <c r="AI23" i="15"/>
  <c r="AI39" i="15" s="1"/>
  <c r="AK11" i="19"/>
  <c r="AK11" i="15" s="1"/>
  <c r="W8" i="19"/>
  <c r="W9" i="15"/>
  <c r="Y11" i="19"/>
  <c r="Y11" i="15" s="1"/>
  <c r="W23" i="15"/>
  <c r="W39" i="15" s="1"/>
  <c r="U11" i="19"/>
  <c r="U11" i="15" s="1"/>
  <c r="S23" i="15"/>
  <c r="S39" i="15" s="1"/>
  <c r="O8" i="15"/>
  <c r="S8" i="19"/>
  <c r="S9" i="15"/>
  <c r="E9" i="19"/>
  <c r="E9" i="15" s="1"/>
  <c r="Q11" i="19"/>
  <c r="Q11" i="15" s="1"/>
  <c r="Q9" i="19"/>
  <c r="Q9" i="15" s="1"/>
  <c r="Y9" i="19"/>
  <c r="Y9" i="15" s="1"/>
  <c r="R32" i="1"/>
  <c r="T30" i="1"/>
  <c r="U30" i="1"/>
  <c r="S30" i="1"/>
  <c r="O8" i="17"/>
  <c r="P19" i="2"/>
  <c r="AD38" i="19" l="1"/>
  <c r="Z38" i="15"/>
  <c r="Z38" i="19"/>
  <c r="I5" i="15"/>
  <c r="F38" i="15" s="1"/>
  <c r="F38" i="19"/>
  <c r="J38" i="19"/>
  <c r="M9" i="15"/>
  <c r="N38" i="15"/>
  <c r="N38" i="19"/>
  <c r="B38" i="19"/>
  <c r="C8" i="15"/>
  <c r="V38" i="19"/>
  <c r="W8" i="15"/>
  <c r="V38" i="15" s="1"/>
  <c r="AH38" i="19"/>
  <c r="AI8" i="15"/>
  <c r="AH38" i="15" s="1"/>
  <c r="J38" i="15"/>
  <c r="R38" i="19"/>
  <c r="S8" i="15"/>
  <c r="R38" i="15" s="1"/>
  <c r="S32" i="1"/>
  <c r="T32" i="1"/>
  <c r="U32" i="1"/>
  <c r="R33" i="1"/>
  <c r="R34" i="1" s="1"/>
  <c r="B23" i="4"/>
  <c r="B26" i="4"/>
  <c r="B14" i="4"/>
  <c r="B45" i="4"/>
  <c r="B44" i="4"/>
  <c r="B43" i="4"/>
  <c r="B42" i="4"/>
  <c r="C42" i="4" s="1"/>
  <c r="B41" i="4"/>
  <c r="B37" i="4"/>
  <c r="B36" i="4"/>
  <c r="B32" i="4"/>
  <c r="F33" i="4" s="1"/>
  <c r="B33" i="4"/>
  <c r="B28" i="4"/>
  <c r="B27" i="4"/>
  <c r="B24" i="4"/>
  <c r="B22" i="4"/>
  <c r="B21" i="4"/>
  <c r="C21" i="4" s="1"/>
  <c r="B16" i="4"/>
  <c r="U34" i="1" l="1"/>
  <c r="S34" i="1"/>
  <c r="T34" i="1"/>
  <c r="R35" i="1"/>
  <c r="R36" i="1" s="1"/>
  <c r="S33" i="1"/>
  <c r="T33" i="1"/>
  <c r="U33" i="1"/>
  <c r="C33" i="4"/>
  <c r="S35" i="1" l="1"/>
  <c r="T35" i="1"/>
  <c r="U35" i="1"/>
  <c r="T36" i="1"/>
  <c r="U36" i="1"/>
  <c r="S36" i="1"/>
  <c r="R37" i="1"/>
  <c r="D23" i="12"/>
  <c r="E23" i="12" s="1"/>
  <c r="D24" i="12"/>
  <c r="E24" i="12" s="1"/>
  <c r="H81" i="11" s="1"/>
  <c r="G81" i="11" s="1"/>
  <c r="D25" i="12"/>
  <c r="E25" i="12" s="1"/>
  <c r="D26" i="12"/>
  <c r="E26" i="12" s="1"/>
  <c r="H83" i="11" s="1"/>
  <c r="G83" i="11" s="1"/>
  <c r="D27" i="12"/>
  <c r="D28" i="12"/>
  <c r="D29" i="12"/>
  <c r="D30" i="12"/>
  <c r="E30" i="12" s="1"/>
  <c r="H87" i="11" s="1"/>
  <c r="D22" i="12"/>
  <c r="E22" i="12" s="1"/>
  <c r="H79" i="11" s="1"/>
  <c r="E27" i="12"/>
  <c r="H84" i="11" s="1"/>
  <c r="G84" i="11" s="1"/>
  <c r="E28" i="12"/>
  <c r="H85" i="11" s="1"/>
  <c r="G85" i="11" s="1"/>
  <c r="E29" i="12"/>
  <c r="H86" i="11" s="1"/>
  <c r="G86" i="11" s="1"/>
  <c r="R38" i="1" l="1"/>
  <c r="T37" i="1"/>
  <c r="U37" i="1"/>
  <c r="S37" i="1"/>
  <c r="H82" i="11"/>
  <c r="K81" i="11"/>
  <c r="H80" i="11"/>
  <c r="K83" i="11"/>
  <c r="I84" i="11"/>
  <c r="J84" i="11"/>
  <c r="K84" i="11"/>
  <c r="K86" i="11"/>
  <c r="I86" i="11"/>
  <c r="J86" i="11"/>
  <c r="K85" i="11"/>
  <c r="I85" i="11"/>
  <c r="J85" i="11"/>
  <c r="J87" i="11"/>
  <c r="I87" i="11"/>
  <c r="K87" i="11"/>
  <c r="I83" i="11"/>
  <c r="J83" i="11"/>
  <c r="I81" i="11"/>
  <c r="J81" i="11"/>
  <c r="D16" i="1" l="1"/>
  <c r="S38" i="1"/>
  <c r="D17" i="1" s="1"/>
  <c r="U38" i="1"/>
  <c r="G14" i="1"/>
  <c r="G22" i="1"/>
  <c r="D15" i="1"/>
  <c r="D14" i="1"/>
  <c r="D22" i="1"/>
  <c r="T38" i="1"/>
  <c r="G19" i="1" s="1"/>
  <c r="D21" i="1"/>
  <c r="K80" i="11"/>
  <c r="G80" i="11"/>
  <c r="K82" i="11"/>
  <c r="G82" i="11"/>
  <c r="J82" i="11"/>
  <c r="I82" i="11"/>
  <c r="J80" i="11"/>
  <c r="I80" i="11"/>
  <c r="J79" i="11"/>
  <c r="K79" i="11"/>
  <c r="I79" i="11"/>
  <c r="D18" i="1" l="1"/>
  <c r="G21" i="1"/>
  <c r="D20" i="1"/>
  <c r="G20" i="1"/>
  <c r="D19" i="1"/>
  <c r="G15" i="1"/>
  <c r="G16" i="1"/>
  <c r="G17" i="1"/>
  <c r="G18" i="1"/>
  <c r="T4" i="11"/>
  <c r="S14" i="11" s="1"/>
  <c r="H33" i="17"/>
  <c r="H32" i="17"/>
  <c r="G13" i="17"/>
  <c r="G37" i="17"/>
  <c r="G35" i="17"/>
  <c r="G34" i="17"/>
  <c r="G33" i="17"/>
  <c r="G30" i="17"/>
  <c r="G29" i="17"/>
  <c r="G28" i="17"/>
  <c r="G27" i="17"/>
  <c r="G26" i="17"/>
  <c r="H37" i="17"/>
  <c r="H36" i="17"/>
  <c r="H35" i="17"/>
  <c r="H34" i="17"/>
  <c r="H31" i="17"/>
  <c r="H30" i="17"/>
  <c r="H29" i="17"/>
  <c r="H28" i="17"/>
  <c r="H26" i="17"/>
  <c r="S7" i="11" l="1"/>
  <c r="S10" i="11"/>
  <c r="T10" i="11" s="1"/>
  <c r="S9" i="11"/>
  <c r="S8" i="11"/>
  <c r="S12" i="11"/>
  <c r="U12" i="11" s="1"/>
  <c r="S11" i="11"/>
  <c r="T5" i="11"/>
  <c r="U5" i="11"/>
  <c r="S6" i="11"/>
  <c r="H27" i="17"/>
  <c r="K4" i="8" s="1"/>
  <c r="X1" i="8" s="1"/>
  <c r="T7" i="11" l="1"/>
  <c r="U7" i="11"/>
  <c r="U10" i="11"/>
  <c r="U11" i="11" a="1"/>
  <c r="U11" i="11" s="1"/>
  <c r="T11" i="11"/>
  <c r="T12" i="11"/>
  <c r="U6" i="11"/>
  <c r="T6" i="11"/>
  <c r="B15" i="4" l="1"/>
  <c r="B8" i="4"/>
  <c r="B3" i="4"/>
  <c r="I46" i="11" l="1"/>
  <c r="J46" i="11"/>
  <c r="K46" i="11"/>
  <c r="I47" i="11"/>
  <c r="J47" i="11"/>
  <c r="K47" i="11"/>
  <c r="I48" i="11"/>
  <c r="J48" i="11"/>
  <c r="K48" i="11"/>
  <c r="I49" i="11"/>
  <c r="J49" i="11"/>
  <c r="K49" i="11"/>
  <c r="I50" i="11"/>
  <c r="J50" i="11"/>
  <c r="K50" i="11"/>
  <c r="I51" i="11"/>
  <c r="J51" i="11"/>
  <c r="K51" i="11"/>
  <c r="I52" i="11"/>
  <c r="J52" i="11"/>
  <c r="K52" i="11"/>
  <c r="I53" i="11"/>
  <c r="J53" i="11"/>
  <c r="K53" i="11"/>
  <c r="I54" i="11"/>
  <c r="J54" i="11"/>
  <c r="K54" i="11"/>
  <c r="I55" i="11"/>
  <c r="J55" i="11"/>
  <c r="K55" i="11"/>
  <c r="I56" i="11"/>
  <c r="J56" i="11"/>
  <c r="K56" i="11"/>
  <c r="I57" i="11"/>
  <c r="J57" i="11"/>
  <c r="K57" i="11"/>
  <c r="I58" i="11"/>
  <c r="J58" i="11"/>
  <c r="K58" i="11"/>
  <c r="I59" i="11"/>
  <c r="J59" i="11"/>
  <c r="K59" i="11"/>
  <c r="I60" i="11"/>
  <c r="J60" i="11"/>
  <c r="K60" i="11"/>
  <c r="H46" i="11"/>
  <c r="H47" i="11"/>
  <c r="H48" i="11"/>
  <c r="H49" i="11"/>
  <c r="H50" i="11"/>
  <c r="H51" i="11"/>
  <c r="H52" i="11"/>
  <c r="H53" i="11"/>
  <c r="H54" i="11"/>
  <c r="H55" i="11"/>
  <c r="H56" i="11"/>
  <c r="H57" i="11"/>
  <c r="H58" i="11"/>
  <c r="H59" i="11"/>
  <c r="H60" i="11"/>
  <c r="Q37" i="2"/>
  <c r="R37" i="2"/>
  <c r="Q36" i="2"/>
  <c r="R36" i="2"/>
  <c r="E14" i="12"/>
  <c r="H72" i="11" s="1"/>
  <c r="G72" i="11" s="1"/>
  <c r="E15" i="12"/>
  <c r="H73" i="11" s="1"/>
  <c r="E16" i="12"/>
  <c r="H74" i="11" s="1"/>
  <c r="G74" i="11" s="1"/>
  <c r="E17" i="12"/>
  <c r="H75" i="11" s="1"/>
  <c r="E18" i="12"/>
  <c r="H76" i="11" s="1"/>
  <c r="E19" i="12"/>
  <c r="H77" i="11" s="1"/>
  <c r="E20" i="12"/>
  <c r="E13" i="12"/>
  <c r="H71" i="11" s="1"/>
  <c r="G71" i="11" s="1"/>
  <c r="H78" i="11"/>
  <c r="E12" i="12"/>
  <c r="H70" i="11" s="1"/>
  <c r="G70" i="11" s="1"/>
  <c r="J4" i="8"/>
  <c r="I77" i="11" l="1"/>
  <c r="G77" i="11"/>
  <c r="K76" i="11"/>
  <c r="G76" i="11"/>
  <c r="K75" i="11"/>
  <c r="G75" i="11"/>
  <c r="J73" i="11"/>
  <c r="G73" i="11"/>
  <c r="I78" i="11"/>
  <c r="G78" i="11"/>
  <c r="K78" i="11"/>
  <c r="J76" i="11"/>
  <c r="I76" i="11"/>
  <c r="K74" i="11"/>
  <c r="I74" i="11"/>
  <c r="J74" i="11"/>
  <c r="I72" i="11"/>
  <c r="J72" i="11"/>
  <c r="I70" i="11"/>
  <c r="J70" i="11"/>
  <c r="K70" i="11"/>
  <c r="K71" i="11"/>
  <c r="J75" i="11"/>
  <c r="J78" i="11"/>
  <c r="I75" i="11"/>
  <c r="K73" i="11"/>
  <c r="I73" i="11"/>
  <c r="J71" i="11"/>
  <c r="I71" i="11"/>
  <c r="K72" i="11"/>
  <c r="K77" i="11"/>
  <c r="J77" i="11"/>
  <c r="F42" i="4" l="1"/>
  <c r="E24" i="4" l="1"/>
  <c r="C24" i="4" s="1"/>
  <c r="I4" i="8"/>
  <c r="F24" i="4" l="1"/>
  <c r="C5" i="15"/>
  <c r="C39" i="15" l="1"/>
  <c r="F4" i="8" l="1"/>
  <c r="H4" i="8"/>
  <c r="C25" i="4" l="1"/>
  <c r="C3" i="4"/>
  <c r="C8" i="4"/>
  <c r="C14" i="4"/>
  <c r="F43" i="4"/>
  <c r="C43" i="4"/>
  <c r="F21" i="4"/>
  <c r="F14" i="4"/>
  <c r="F8" i="4"/>
  <c r="F3" i="4"/>
  <c r="O5" i="17" l="1"/>
  <c r="I17" i="1" l="1"/>
  <c r="I14" i="1"/>
  <c r="I19" i="1"/>
  <c r="I22" i="1"/>
  <c r="I15" i="1"/>
  <c r="I16" i="1"/>
  <c r="Q39" i="2"/>
  <c r="Q38" i="2"/>
  <c r="R27" i="2"/>
  <c r="R28" i="2"/>
  <c r="R29" i="2"/>
  <c r="R30" i="2"/>
  <c r="R31" i="2"/>
  <c r="R32" i="2"/>
  <c r="R33" i="2"/>
  <c r="Q27" i="2"/>
  <c r="Q28" i="2"/>
  <c r="Q29" i="2"/>
  <c r="Q30" i="2"/>
  <c r="Q31" i="2"/>
  <c r="Q32" i="2"/>
  <c r="Q33" i="2"/>
  <c r="Q34" i="2"/>
  <c r="B51" i="4"/>
  <c r="I18" i="1" l="1"/>
  <c r="I20" i="1"/>
  <c r="I21" i="1"/>
  <c r="F25" i="4"/>
  <c r="E23" i="4" l="1"/>
  <c r="F23" i="4" l="1"/>
  <c r="C23" i="4"/>
  <c r="O14" i="1"/>
  <c r="X1" i="2"/>
  <c r="H3" i="11"/>
  <c r="K3" i="11" s="1"/>
  <c r="C3" i="11"/>
  <c r="R34" i="2"/>
  <c r="R35" i="2"/>
  <c r="Q35" i="2"/>
  <c r="AC1" i="8"/>
  <c r="Y1" i="8" s="1"/>
  <c r="E45" i="4"/>
  <c r="E44" i="4"/>
  <c r="E37" i="4"/>
  <c r="E36" i="4"/>
  <c r="C36" i="4" s="1"/>
  <c r="E35" i="4"/>
  <c r="C35" i="4" s="1"/>
  <c r="E32" i="4"/>
  <c r="E27" i="4"/>
  <c r="E26" i="4"/>
  <c r="E22" i="4"/>
  <c r="E16" i="4"/>
  <c r="E17" i="4"/>
  <c r="C17" i="4" s="1"/>
  <c r="E18" i="4"/>
  <c r="E19" i="4"/>
  <c r="E15" i="4"/>
  <c r="S24" i="2" l="1"/>
  <c r="S12" i="2"/>
  <c r="V12" i="2" s="1"/>
  <c r="S13" i="2"/>
  <c r="V13" i="2" s="1"/>
  <c r="S14" i="2"/>
  <c r="V14" i="2" s="1"/>
  <c r="S11" i="2"/>
  <c r="V11" i="2" s="1"/>
  <c r="S15" i="2"/>
  <c r="V15" i="2" s="1"/>
  <c r="F15" i="4"/>
  <c r="C15" i="4"/>
  <c r="C26" i="4"/>
  <c r="F26" i="4"/>
  <c r="C22" i="4"/>
  <c r="F22" i="4"/>
  <c r="C16" i="4"/>
  <c r="F16" i="4"/>
  <c r="S37" i="2"/>
  <c r="V37" i="2" s="1"/>
  <c r="S36" i="2"/>
  <c r="V36" i="2" s="1"/>
  <c r="S22" i="2"/>
  <c r="S23" i="2"/>
  <c r="Q14" i="1"/>
  <c r="P14" i="1"/>
  <c r="F28" i="4"/>
  <c r="C28" i="4"/>
  <c r="C45" i="4"/>
  <c r="F45" i="4"/>
  <c r="C44" i="4"/>
  <c r="F44" i="4"/>
  <c r="C37" i="4"/>
  <c r="F37" i="4"/>
  <c r="F36" i="4"/>
  <c r="F35" i="4"/>
  <c r="O15" i="1"/>
  <c r="R38" i="2"/>
  <c r="S45" i="2"/>
  <c r="S10" i="2"/>
  <c r="V10" i="2" s="1"/>
  <c r="S28" i="2"/>
  <c r="V28" i="2" s="1"/>
  <c r="S38" i="2"/>
  <c r="S29" i="2"/>
  <c r="S4" i="2"/>
  <c r="S17" i="2"/>
  <c r="S2" i="2"/>
  <c r="V2" i="2" s="1"/>
  <c r="S5" i="2"/>
  <c r="V5" i="2" s="1"/>
  <c r="S21" i="2"/>
  <c r="S9" i="2"/>
  <c r="V9" i="2" s="1"/>
  <c r="S3" i="2"/>
  <c r="V3" i="2" s="1"/>
  <c r="J5" i="11" s="1"/>
  <c r="S16" i="2"/>
  <c r="S39" i="2"/>
  <c r="S30" i="2"/>
  <c r="V30" i="2" s="1"/>
  <c r="S18" i="2"/>
  <c r="S6" i="2"/>
  <c r="V6" i="2" s="1"/>
  <c r="S32" i="2"/>
  <c r="V32" i="2" s="1"/>
  <c r="S7" i="2"/>
  <c r="V7" i="2" s="1"/>
  <c r="S20" i="2"/>
  <c r="S33" i="2"/>
  <c r="V33" i="2" s="1"/>
  <c r="S8" i="2"/>
  <c r="S34" i="2"/>
  <c r="V34" i="2" s="1"/>
  <c r="S27" i="2"/>
  <c r="V27" i="2" s="1"/>
  <c r="K27" i="11" s="1"/>
  <c r="S19" i="2"/>
  <c r="S31" i="2"/>
  <c r="V31" i="2" s="1"/>
  <c r="S35" i="2"/>
  <c r="V35" i="2" s="1"/>
  <c r="I3" i="11"/>
  <c r="V40" i="2"/>
  <c r="V42" i="2"/>
  <c r="V41" i="2"/>
  <c r="J3" i="11"/>
  <c r="I13" i="11" l="1"/>
  <c r="J13" i="11"/>
  <c r="K13" i="11"/>
  <c r="H13" i="11"/>
  <c r="G13" i="11" s="1"/>
  <c r="H17" i="11"/>
  <c r="K17" i="11"/>
  <c r="J17" i="11"/>
  <c r="I17" i="11"/>
  <c r="H16" i="11"/>
  <c r="G16" i="11" s="1"/>
  <c r="K16" i="11"/>
  <c r="J16" i="11"/>
  <c r="I16" i="11"/>
  <c r="K15" i="11"/>
  <c r="I15" i="11"/>
  <c r="J15" i="11"/>
  <c r="H15" i="11"/>
  <c r="G15" i="11" s="1"/>
  <c r="I14" i="11"/>
  <c r="H14" i="11"/>
  <c r="G14" i="11" s="1"/>
  <c r="J14" i="11"/>
  <c r="K14" i="11"/>
  <c r="I40" i="11"/>
  <c r="J40" i="11"/>
  <c r="K40" i="11"/>
  <c r="H40" i="11"/>
  <c r="I41" i="11"/>
  <c r="J41" i="11"/>
  <c r="K41" i="11"/>
  <c r="H41" i="11"/>
  <c r="K42" i="11"/>
  <c r="I42" i="11"/>
  <c r="H42" i="11"/>
  <c r="J42" i="11"/>
  <c r="H37" i="11"/>
  <c r="G37" i="11" s="1"/>
  <c r="K37" i="11"/>
  <c r="J37" i="11"/>
  <c r="I37" i="11"/>
  <c r="H36" i="11"/>
  <c r="G36" i="11" s="1"/>
  <c r="J36" i="11"/>
  <c r="K36" i="11"/>
  <c r="I36" i="11"/>
  <c r="K30" i="11"/>
  <c r="I30" i="11"/>
  <c r="J30" i="11"/>
  <c r="H33" i="11"/>
  <c r="G33" i="11" s="1"/>
  <c r="J33" i="11"/>
  <c r="I33" i="11"/>
  <c r="K33" i="11"/>
  <c r="H28" i="11"/>
  <c r="G28" i="11" s="1"/>
  <c r="I28" i="11"/>
  <c r="J28" i="11"/>
  <c r="K28" i="11"/>
  <c r="I31" i="11"/>
  <c r="J31" i="11"/>
  <c r="K31" i="11"/>
  <c r="I34" i="11"/>
  <c r="J34" i="11"/>
  <c r="K34" i="11"/>
  <c r="H35" i="11"/>
  <c r="G35" i="11" s="1"/>
  <c r="K35" i="11"/>
  <c r="I35" i="11"/>
  <c r="J35" i="11"/>
  <c r="I32" i="11"/>
  <c r="J32" i="11"/>
  <c r="K32" i="11"/>
  <c r="H31" i="11"/>
  <c r="G31" i="11" s="1"/>
  <c r="H32" i="11"/>
  <c r="G32" i="11" s="1"/>
  <c r="H34" i="11"/>
  <c r="G34" i="11" s="1"/>
  <c r="H30" i="11"/>
  <c r="G30" i="11" s="1"/>
  <c r="V39" i="2"/>
  <c r="K11" i="11"/>
  <c r="J11" i="11"/>
  <c r="H11" i="11"/>
  <c r="G11" i="11" s="1"/>
  <c r="I11" i="11"/>
  <c r="H12" i="11"/>
  <c r="I12" i="11"/>
  <c r="K12" i="11"/>
  <c r="J12" i="11"/>
  <c r="V8" i="2"/>
  <c r="J10" i="11" s="1"/>
  <c r="V4" i="2"/>
  <c r="H6" i="11" s="1"/>
  <c r="Q15" i="1"/>
  <c r="P15" i="1"/>
  <c r="D55" i="4"/>
  <c r="M1" i="4" s="1"/>
  <c r="M2" i="4" s="1"/>
  <c r="F55" i="4"/>
  <c r="J4" i="11"/>
  <c r="H4" i="11"/>
  <c r="I27" i="11"/>
  <c r="J27" i="11"/>
  <c r="H27" i="11"/>
  <c r="G27" i="11" s="1"/>
  <c r="V38" i="2"/>
  <c r="O16" i="1"/>
  <c r="V43" i="2"/>
  <c r="K4" i="11"/>
  <c r="I4" i="11"/>
  <c r="V44" i="2"/>
  <c r="K5" i="11"/>
  <c r="V29" i="2"/>
  <c r="I9" i="11"/>
  <c r="K8" i="11"/>
  <c r="H5" i="11"/>
  <c r="I5" i="11"/>
  <c r="H7" i="11"/>
  <c r="K7" i="11"/>
  <c r="I7" i="11"/>
  <c r="J7" i="11"/>
  <c r="I43" i="11" l="1"/>
  <c r="J43" i="11"/>
  <c r="K43" i="11"/>
  <c r="H43" i="11"/>
  <c r="I44" i="11"/>
  <c r="J44" i="11"/>
  <c r="K44" i="11"/>
  <c r="H44" i="11"/>
  <c r="M3" i="4"/>
  <c r="H1" i="11"/>
  <c r="G1" i="11" s="1"/>
  <c r="H39" i="11"/>
  <c r="G39" i="11" s="1"/>
  <c r="I39" i="11"/>
  <c r="J39" i="11"/>
  <c r="K39" i="11"/>
  <c r="I38" i="11"/>
  <c r="J38" i="11"/>
  <c r="K38" i="11"/>
  <c r="H38" i="11"/>
  <c r="G38" i="11" s="1"/>
  <c r="I29" i="11"/>
  <c r="J29" i="11"/>
  <c r="K29" i="11"/>
  <c r="H29" i="11"/>
  <c r="G29" i="11" s="1"/>
  <c r="H2" i="11"/>
  <c r="I2" i="11" s="1"/>
  <c r="J6" i="11"/>
  <c r="K10" i="11"/>
  <c r="I6" i="11"/>
  <c r="I10" i="11"/>
  <c r="H10" i="11"/>
  <c r="G10" i="11" s="1"/>
  <c r="K6" i="11"/>
  <c r="O17" i="1"/>
  <c r="P16" i="1"/>
  <c r="Q16" i="1"/>
  <c r="K9" i="11"/>
  <c r="J9" i="11"/>
  <c r="H8" i="11"/>
  <c r="G8" i="11" s="1"/>
  <c r="I8" i="11"/>
  <c r="J8" i="11"/>
  <c r="H9" i="11"/>
  <c r="P17" i="1" l="1"/>
  <c r="K1" i="11"/>
  <c r="I1" i="11"/>
  <c r="K2" i="11"/>
  <c r="G2" i="11"/>
  <c r="G3" i="11" s="1"/>
  <c r="G4" i="11" s="1"/>
  <c r="J2" i="11"/>
  <c r="O18" i="1"/>
  <c r="P18" i="1" s="1"/>
  <c r="Q17" i="1"/>
  <c r="O19" i="1" l="1"/>
  <c r="Q18" i="1"/>
  <c r="G5" i="11"/>
  <c r="G6" i="11" s="1"/>
  <c r="G7" i="11" s="1"/>
  <c r="P19" i="1" l="1"/>
  <c r="G9" i="11"/>
  <c r="G12" i="11" s="1"/>
  <c r="G17" i="11" s="1"/>
  <c r="O20" i="1"/>
  <c r="P20" i="1" s="1"/>
  <c r="Q19" i="1"/>
  <c r="Q20" i="1" l="1"/>
  <c r="O21" i="1"/>
  <c r="P21" i="1" s="1"/>
  <c r="Q21" i="1" l="1"/>
  <c r="O22" i="1"/>
  <c r="Z15" i="2" l="1"/>
  <c r="AA15" i="2" s="1"/>
  <c r="A21" i="2" s="1"/>
  <c r="Z16" i="2"/>
  <c r="Z20" i="2"/>
  <c r="Z17" i="2"/>
  <c r="Z14" i="2"/>
  <c r="Z19" i="2"/>
  <c r="Z13" i="2"/>
  <c r="Z18" i="2"/>
  <c r="Q22" i="1"/>
  <c r="P22" i="1"/>
  <c r="Z12" i="2"/>
  <c r="AB12" i="2" s="1"/>
  <c r="B18" i="2" s="1"/>
  <c r="AA19" i="2" l="1"/>
  <c r="A25" i="2" s="1"/>
  <c r="C25" i="2" s="1"/>
  <c r="AC16" i="2" s="1"/>
  <c r="AE16" i="2" s="1"/>
  <c r="AB19" i="2"/>
  <c r="B25" i="2" s="1"/>
  <c r="AA18" i="2"/>
  <c r="AB18" i="2"/>
  <c r="B24" i="2" s="1"/>
  <c r="AA17" i="2"/>
  <c r="A23" i="2" s="1"/>
  <c r="V1" i="15" s="1"/>
  <c r="AB17" i="2"/>
  <c r="B23" i="2" s="1"/>
  <c r="AA7" i="2" s="1"/>
  <c r="AA20" i="2"/>
  <c r="A26" i="2" s="1"/>
  <c r="C26" i="2" s="1"/>
  <c r="AC17" i="2" s="1"/>
  <c r="AE17" i="2" s="1"/>
  <c r="AB20" i="2"/>
  <c r="B26" i="2" s="1"/>
  <c r="AB16" i="2"/>
  <c r="B22" i="2" s="1"/>
  <c r="AA6" i="2" s="1"/>
  <c r="AA16" i="2"/>
  <c r="A22" i="2" s="1"/>
  <c r="G22" i="2" s="1"/>
  <c r="A24" i="2"/>
  <c r="Z1" i="15" s="1"/>
  <c r="AC55" i="15" s="1"/>
  <c r="AB13" i="2"/>
  <c r="B19" i="2" s="1"/>
  <c r="AA3" i="2" s="1"/>
  <c r="AB14" i="2"/>
  <c r="B20" i="2" s="1"/>
  <c r="AA4" i="2" s="1"/>
  <c r="B38" i="15"/>
  <c r="AA2" i="2"/>
  <c r="AA13" i="2"/>
  <c r="A19" i="2" s="1"/>
  <c r="H19" i="2" s="1"/>
  <c r="AA12" i="2"/>
  <c r="A18" i="2" s="1"/>
  <c r="Z2" i="2" s="1"/>
  <c r="A2" i="12" s="1"/>
  <c r="AB15" i="2"/>
  <c r="B21" i="2" s="1"/>
  <c r="AA14" i="2"/>
  <c r="A20" i="2" s="1"/>
  <c r="H21" i="2"/>
  <c r="G21" i="2"/>
  <c r="C21" i="2"/>
  <c r="AC12" i="2" s="1"/>
  <c r="AE12" i="2" s="1"/>
  <c r="I21" i="2"/>
  <c r="N1" i="15"/>
  <c r="H24" i="2" l="1"/>
  <c r="AD1" i="15"/>
  <c r="AD1" i="19" s="1"/>
  <c r="AG55" i="19" s="1"/>
  <c r="C24" i="2"/>
  <c r="AC15" i="2" s="1"/>
  <c r="AE15" i="2" s="1"/>
  <c r="I24" i="2"/>
  <c r="G24" i="2"/>
  <c r="Z1" i="19"/>
  <c r="AC55" i="19" s="1"/>
  <c r="G25" i="2"/>
  <c r="I25" i="2"/>
  <c r="H25" i="2"/>
  <c r="AA8" i="2"/>
  <c r="Z8" i="2"/>
  <c r="A8" i="12" s="1"/>
  <c r="E8" i="12" s="1"/>
  <c r="H67" i="11" s="1"/>
  <c r="AH1" i="15"/>
  <c r="AK55" i="15" s="1"/>
  <c r="G26" i="2"/>
  <c r="H26" i="2"/>
  <c r="I26" i="2"/>
  <c r="AB8" i="2"/>
  <c r="AD17" i="2"/>
  <c r="AF17" i="2"/>
  <c r="AD16" i="2"/>
  <c r="AF16" i="2" s="1"/>
  <c r="Z6" i="2"/>
  <c r="A6" i="12" s="1"/>
  <c r="E6" i="12" s="1"/>
  <c r="H65" i="11" s="1"/>
  <c r="Z7" i="2"/>
  <c r="A7" i="12" s="1"/>
  <c r="E7" i="12" s="1"/>
  <c r="H66" i="11" s="1"/>
  <c r="Y55" i="15"/>
  <c r="V1" i="19"/>
  <c r="Y55" i="19" s="1"/>
  <c r="Q55" i="15"/>
  <c r="N1" i="19"/>
  <c r="Q55" i="19" s="1"/>
  <c r="AG55" i="15"/>
  <c r="Z4" i="2"/>
  <c r="A4" i="12" s="1"/>
  <c r="E4" i="12" s="1"/>
  <c r="H63" i="11" s="1"/>
  <c r="AB3" i="2"/>
  <c r="Z3" i="2"/>
  <c r="A3" i="12" s="1"/>
  <c r="E3" i="12" s="1"/>
  <c r="H62" i="11" s="1"/>
  <c r="AB9" i="2"/>
  <c r="Z9" i="2"/>
  <c r="AA9" i="2"/>
  <c r="E2" i="12"/>
  <c r="H61" i="11" s="1"/>
  <c r="AA5" i="2"/>
  <c r="Z5" i="2"/>
  <c r="AB5" i="2"/>
  <c r="Z10" i="2"/>
  <c r="A10" i="12" s="1"/>
  <c r="E10" i="12" s="1"/>
  <c r="H69" i="11" s="1"/>
  <c r="AA10" i="2"/>
  <c r="AB10" i="2"/>
  <c r="C19" i="2"/>
  <c r="AC10" i="2" s="1"/>
  <c r="AE10" i="2" s="1"/>
  <c r="F1" i="15"/>
  <c r="B1" i="15"/>
  <c r="B1" i="19" s="1"/>
  <c r="E55" i="19" s="1"/>
  <c r="E55" i="15" s="1"/>
  <c r="I19" i="2"/>
  <c r="H23" i="2"/>
  <c r="AB7" i="2" s="1"/>
  <c r="G18" i="2"/>
  <c r="G19" i="2"/>
  <c r="C18" i="2"/>
  <c r="I18" i="2"/>
  <c r="H18" i="2"/>
  <c r="AB2" i="2" s="1"/>
  <c r="H20" i="2"/>
  <c r="AB4" i="2" s="1"/>
  <c r="J24" i="2"/>
  <c r="I20" i="2"/>
  <c r="J1" i="15"/>
  <c r="H26" i="11"/>
  <c r="H22" i="2"/>
  <c r="AB6" i="2" s="1"/>
  <c r="I22" i="2"/>
  <c r="C22" i="2"/>
  <c r="AC13" i="2" s="1"/>
  <c r="AE13" i="2" s="1"/>
  <c r="R1" i="15"/>
  <c r="C23" i="2"/>
  <c r="AC14" i="2" s="1"/>
  <c r="AE14" i="2" s="1"/>
  <c r="I23" i="2"/>
  <c r="G23" i="2"/>
  <c r="C20" i="2"/>
  <c r="AC11" i="2" s="1"/>
  <c r="AE11" i="2" s="1"/>
  <c r="G20" i="2"/>
  <c r="AD15" i="2"/>
  <c r="AF15" i="2" s="1"/>
  <c r="H21" i="11"/>
  <c r="J21" i="2"/>
  <c r="AD12" i="2"/>
  <c r="H24" i="11" l="1"/>
  <c r="J25" i="2"/>
  <c r="J26" i="2"/>
  <c r="AH1" i="19"/>
  <c r="AK55" i="19" s="1"/>
  <c r="M55" i="15"/>
  <c r="J1" i="19"/>
  <c r="M55" i="19" s="1"/>
  <c r="I55" i="15"/>
  <c r="F1" i="19"/>
  <c r="I55" i="19" s="1"/>
  <c r="U55" i="15"/>
  <c r="R1" i="19"/>
  <c r="U55" i="19" s="1"/>
  <c r="K61" i="11"/>
  <c r="I69" i="11"/>
  <c r="I62" i="11"/>
  <c r="I66" i="11"/>
  <c r="K63" i="11"/>
  <c r="K65" i="11"/>
  <c r="J65" i="11"/>
  <c r="I65" i="11"/>
  <c r="J67" i="11"/>
  <c r="K67" i="11"/>
  <c r="I67" i="11"/>
  <c r="A9" i="12"/>
  <c r="E9" i="12" s="1"/>
  <c r="H68" i="11" s="1"/>
  <c r="A5" i="12"/>
  <c r="E5" i="12" s="1"/>
  <c r="H64" i="11" s="1"/>
  <c r="H19" i="11"/>
  <c r="AC9" i="2"/>
  <c r="AE9" i="2" s="1"/>
  <c r="Q24" i="2"/>
  <c r="U24" i="2" s="1"/>
  <c r="T24" i="2"/>
  <c r="J63" i="11"/>
  <c r="I63" i="11"/>
  <c r="J61" i="11"/>
  <c r="I61" i="11"/>
  <c r="J62" i="11"/>
  <c r="K62" i="11"/>
  <c r="J69" i="11"/>
  <c r="K69" i="11"/>
  <c r="K66" i="11"/>
  <c r="J66" i="11"/>
  <c r="AD10" i="2"/>
  <c r="J22" i="2"/>
  <c r="AD14" i="2"/>
  <c r="J20" i="2"/>
  <c r="J19" i="2"/>
  <c r="R23" i="2" s="1"/>
  <c r="V23" i="2" s="1"/>
  <c r="J18" i="2"/>
  <c r="R22" i="2" s="1"/>
  <c r="V22" i="2" s="1"/>
  <c r="J23" i="2"/>
  <c r="H23" i="11"/>
  <c r="H22" i="11"/>
  <c r="AD13" i="2"/>
  <c r="AF13" i="2" s="1"/>
  <c r="Q20" i="2"/>
  <c r="U20" i="2" s="1"/>
  <c r="T16" i="2"/>
  <c r="T17" i="2"/>
  <c r="Q21" i="2"/>
  <c r="U21" i="2" s="1"/>
  <c r="Q23" i="2"/>
  <c r="U23" i="2" s="1"/>
  <c r="Q19" i="2"/>
  <c r="U19" i="2" s="1"/>
  <c r="Q22" i="2"/>
  <c r="U22" i="2" s="1"/>
  <c r="T21" i="2"/>
  <c r="T23" i="2"/>
  <c r="T20" i="2"/>
  <c r="Q17" i="2"/>
  <c r="U17" i="2" s="1"/>
  <c r="T22" i="2"/>
  <c r="Q18" i="2"/>
  <c r="U18" i="2" s="1"/>
  <c r="T19" i="2"/>
  <c r="T18" i="2"/>
  <c r="Q16" i="2"/>
  <c r="U16" i="2" s="1"/>
  <c r="R19" i="2"/>
  <c r="V19" i="2" s="1"/>
  <c r="H25" i="11"/>
  <c r="I21" i="11"/>
  <c r="H20" i="11"/>
  <c r="AD11" i="2"/>
  <c r="AF11" i="2" s="1"/>
  <c r="AF12" i="2"/>
  <c r="K21" i="11" s="1"/>
  <c r="J21" i="11"/>
  <c r="N4" i="17" l="1"/>
  <c r="O4" i="17"/>
  <c r="U8" i="11" s="1"/>
  <c r="R17" i="2"/>
  <c r="V17" i="2" s="1"/>
  <c r="J20" i="11"/>
  <c r="R20" i="2"/>
  <c r="V20" i="2" s="1"/>
  <c r="R21" i="2"/>
  <c r="V21" i="2" s="1"/>
  <c r="R16" i="2"/>
  <c r="V16" i="2" s="1"/>
  <c r="R24" i="2"/>
  <c r="V24" i="2" s="1"/>
  <c r="K64" i="11"/>
  <c r="J64" i="11"/>
  <c r="I64" i="11"/>
  <c r="J68" i="11"/>
  <c r="I68" i="11"/>
  <c r="K68" i="11"/>
  <c r="J19" i="11"/>
  <c r="R45" i="2"/>
  <c r="N6" i="17" s="1"/>
  <c r="T9" i="11" s="1"/>
  <c r="I19" i="11"/>
  <c r="H18" i="11"/>
  <c r="G18" i="11" s="1"/>
  <c r="AD9" i="2"/>
  <c r="AF9" i="2" s="1"/>
  <c r="R18" i="2"/>
  <c r="V18" i="2" s="1"/>
  <c r="AF10" i="2"/>
  <c r="K19" i="11" s="1"/>
  <c r="AF14" i="2"/>
  <c r="I22" i="11"/>
  <c r="K22" i="11"/>
  <c r="J22" i="11"/>
  <c r="I20" i="11"/>
  <c r="K20" i="11"/>
  <c r="T8" i="11" l="1"/>
  <c r="T14" i="11" s="1"/>
  <c r="G19" i="11"/>
  <c r="V45" i="2"/>
  <c r="H45" i="11" s="1"/>
  <c r="J18" i="11"/>
  <c r="K18" i="11"/>
  <c r="I18" i="11"/>
  <c r="J23" i="11"/>
  <c r="I23" i="11"/>
  <c r="K23" i="11"/>
  <c r="J24" i="11"/>
  <c r="I24" i="11"/>
  <c r="K24" i="11"/>
  <c r="J26" i="11"/>
  <c r="I26" i="11"/>
  <c r="K26" i="11"/>
  <c r="I25" i="11"/>
  <c r="J25" i="11"/>
  <c r="K25" i="11"/>
  <c r="G20" i="11" l="1"/>
  <c r="I45" i="11"/>
  <c r="K45" i="11"/>
  <c r="J45" i="11"/>
  <c r="O6" i="17"/>
  <c r="G21" i="11" l="1"/>
  <c r="U9" i="11"/>
  <c r="U14" i="11" s="1"/>
  <c r="H5" i="17"/>
  <c r="G5" i="17"/>
  <c r="G22" i="11" l="1"/>
  <c r="G23" i="11" l="1"/>
  <c r="G24" i="11" s="1"/>
  <c r="G25" i="11" s="1"/>
  <c r="G26" i="11" s="1"/>
  <c r="G45" i="11" l="1"/>
  <c r="G61" i="11" s="1"/>
  <c r="G63" i="11" l="1"/>
  <c r="G64" i="11" s="1"/>
  <c r="G62" i="11"/>
  <c r="G65" i="11"/>
  <c r="G79" i="11"/>
  <c r="G66" i="11" l="1"/>
  <c r="G67" i="11" s="1"/>
  <c r="G68" i="11" s="1"/>
  <c r="G87" i="11"/>
  <c r="G69" i="11" l="1"/>
  <c r="M1" i="11" s="1"/>
  <c r="A6" i="11" s="1"/>
  <c r="E6" i="11" s="1"/>
  <c r="J1" i="11" s="1"/>
  <c r="D6" i="11" s="1"/>
  <c r="B6" i="11" l="1"/>
  <c r="C6" i="11"/>
  <c r="A7" i="11"/>
  <c r="D7" i="11" s="1"/>
  <c r="A8" i="11" l="1"/>
  <c r="B8" i="11" s="1"/>
  <c r="C7" i="11"/>
  <c r="B7" i="11"/>
  <c r="E7" i="11"/>
  <c r="C8" i="11" l="1"/>
  <c r="A9" i="11"/>
  <c r="A10" i="11" s="1"/>
  <c r="D8" i="11"/>
  <c r="E8" i="11"/>
  <c r="C9" i="11" l="1"/>
  <c r="E9" i="11"/>
  <c r="D9" i="11"/>
  <c r="B9" i="11"/>
  <c r="D10" i="11"/>
  <c r="E10" i="11"/>
  <c r="B10" i="11"/>
  <c r="C10" i="11"/>
  <c r="A11" i="11"/>
  <c r="D11" i="11" l="1"/>
  <c r="E11" i="11"/>
  <c r="B11" i="11"/>
  <c r="C11" i="11"/>
  <c r="A12" i="11"/>
  <c r="D12" i="11" l="1"/>
  <c r="E12" i="11"/>
  <c r="B12" i="11"/>
  <c r="C12" i="11"/>
  <c r="A13" i="11"/>
  <c r="D13" i="11" l="1"/>
  <c r="E13" i="11"/>
  <c r="B13" i="11"/>
  <c r="C13" i="11"/>
  <c r="A14" i="11"/>
  <c r="D14" i="11" l="1"/>
  <c r="E14" i="11"/>
  <c r="B14" i="11"/>
  <c r="C14" i="11"/>
  <c r="A15" i="11"/>
  <c r="D15" i="11" l="1"/>
  <c r="E15" i="11"/>
  <c r="B15" i="11"/>
  <c r="C15" i="11"/>
  <c r="A16" i="11"/>
  <c r="D16" i="11" l="1"/>
  <c r="E16" i="11"/>
  <c r="B16" i="11"/>
  <c r="C16" i="11"/>
  <c r="A17" i="11"/>
  <c r="D17" i="11" l="1"/>
  <c r="E17" i="11"/>
  <c r="B17" i="11"/>
  <c r="C17" i="11"/>
  <c r="A18" i="11"/>
  <c r="D18" i="11" l="1"/>
  <c r="E18" i="11"/>
  <c r="B18" i="11"/>
  <c r="C18" i="11"/>
  <c r="A19" i="11"/>
  <c r="D19" i="11" l="1"/>
  <c r="E19" i="11"/>
  <c r="B19" i="11"/>
  <c r="C19" i="11"/>
  <c r="A20" i="11"/>
  <c r="D20" i="11" l="1"/>
  <c r="E20" i="11"/>
  <c r="B20" i="11"/>
  <c r="C20" i="11"/>
  <c r="A21" i="11"/>
  <c r="D21" i="11" l="1"/>
  <c r="E21" i="11"/>
  <c r="B21" i="11"/>
  <c r="C21" i="11"/>
  <c r="A22" i="11"/>
  <c r="D22" i="11" l="1"/>
  <c r="E22" i="11"/>
  <c r="B22" i="11"/>
  <c r="C22" i="11"/>
  <c r="A23" i="11"/>
  <c r="D23" i="11" l="1"/>
  <c r="E23" i="11"/>
  <c r="B23" i="11"/>
  <c r="C23" i="11"/>
  <c r="A24" i="11"/>
  <c r="D24" i="11" l="1"/>
  <c r="E24" i="11"/>
  <c r="B24" i="11"/>
  <c r="C24" i="11"/>
  <c r="A25" i="11"/>
  <c r="D25" i="11" l="1"/>
  <c r="E25" i="11"/>
  <c r="B25" i="11"/>
  <c r="C25" i="11"/>
  <c r="A26" i="11"/>
  <c r="D26" i="11" l="1"/>
  <c r="E26" i="11"/>
  <c r="B26" i="11"/>
  <c r="C26" i="11"/>
  <c r="A27" i="11"/>
  <c r="D27" i="11" l="1"/>
  <c r="E27" i="11"/>
  <c r="B27" i="11"/>
  <c r="C27" i="11"/>
  <c r="A28" i="11"/>
  <c r="D28" i="11" l="1"/>
  <c r="E28" i="11"/>
  <c r="B28" i="11"/>
  <c r="C28" i="11"/>
  <c r="A29" i="11"/>
  <c r="D29" i="11" l="1"/>
  <c r="E29" i="11"/>
  <c r="B29" i="11"/>
  <c r="C29" i="11"/>
  <c r="A30" i="11"/>
  <c r="D30" i="11" l="1"/>
  <c r="E30" i="11"/>
  <c r="B30" i="11"/>
  <c r="C30" i="11"/>
  <c r="A31" i="11"/>
  <c r="D31" i="11" l="1"/>
  <c r="E31" i="11"/>
  <c r="B31" i="11"/>
  <c r="C31" i="11"/>
  <c r="A32" i="11"/>
  <c r="D32" i="11" l="1"/>
  <c r="E32" i="11"/>
  <c r="B32" i="11"/>
  <c r="C32" i="11"/>
  <c r="A33" i="11"/>
  <c r="D33" i="11" l="1"/>
  <c r="E33" i="11"/>
  <c r="B33" i="11"/>
  <c r="C33" i="11"/>
  <c r="A34" i="11"/>
  <c r="D34" i="11" l="1"/>
  <c r="E34" i="11"/>
  <c r="B34" i="11"/>
  <c r="C34" i="11"/>
  <c r="A35" i="11"/>
  <c r="D35" i="11" l="1"/>
  <c r="E35" i="11"/>
  <c r="B35" i="11"/>
  <c r="C35" i="11"/>
  <c r="A36" i="11"/>
  <c r="D36" i="11" l="1"/>
  <c r="E36" i="11"/>
  <c r="B36" i="11"/>
  <c r="C36" i="11"/>
  <c r="A37" i="11"/>
  <c r="D37" i="11" l="1"/>
  <c r="E37" i="11"/>
  <c r="B37" i="11"/>
  <c r="C37" i="11"/>
  <c r="A38" i="11"/>
  <c r="D38" i="11" l="1"/>
  <c r="E38" i="11"/>
  <c r="B38" i="11"/>
  <c r="C38" i="11"/>
  <c r="A39" i="11"/>
  <c r="D39" i="11" l="1"/>
  <c r="E39" i="11"/>
  <c r="B39" i="11"/>
  <c r="C39" i="11"/>
  <c r="A40" i="11"/>
  <c r="D40" i="11" l="1"/>
  <c r="E40" i="11"/>
  <c r="B40" i="11"/>
  <c r="C40" i="11"/>
  <c r="A41" i="11"/>
  <c r="D41" i="11" l="1"/>
  <c r="E41" i="11"/>
  <c r="B41" i="11"/>
  <c r="C41" i="11"/>
  <c r="A42" i="11"/>
  <c r="D42" i="11" l="1"/>
  <c r="E42" i="11"/>
  <c r="B42" i="11"/>
  <c r="C42" i="11"/>
  <c r="A43" i="11"/>
  <c r="D43" i="11" l="1"/>
  <c r="E43" i="11"/>
  <c r="B43" i="11"/>
  <c r="C43" i="11"/>
  <c r="A44" i="11"/>
  <c r="D44" i="11" l="1"/>
  <c r="E44" i="11"/>
  <c r="B44" i="11"/>
  <c r="C44" i="11"/>
  <c r="A45" i="11"/>
  <c r="D45" i="11" l="1"/>
  <c r="E45" i="11"/>
  <c r="B45" i="11"/>
  <c r="C45" i="11"/>
  <c r="A46" i="11"/>
  <c r="D46" i="11" l="1"/>
  <c r="E46" i="11"/>
  <c r="B46" i="11"/>
  <c r="C46" i="11"/>
  <c r="A47" i="11"/>
  <c r="D47" i="11" l="1"/>
  <c r="E47" i="11"/>
  <c r="B47" i="11"/>
  <c r="C47" i="11"/>
  <c r="A48" i="11"/>
  <c r="D48" i="11" l="1"/>
  <c r="E48" i="11"/>
  <c r="B48" i="11"/>
  <c r="C48" i="11"/>
  <c r="A49" i="11"/>
  <c r="D49" i="11" l="1"/>
  <c r="E49" i="11"/>
  <c r="B49" i="11"/>
  <c r="C49" i="11"/>
  <c r="A50" i="11"/>
  <c r="D50" i="11" l="1"/>
  <c r="E50" i="11"/>
  <c r="B50" i="11"/>
  <c r="C50" i="11"/>
  <c r="A51" i="11"/>
  <c r="D51" i="11" l="1"/>
  <c r="E51" i="11"/>
  <c r="B51" i="11"/>
  <c r="C51" i="11"/>
  <c r="A52" i="11"/>
  <c r="D52" i="11" l="1"/>
  <c r="E52" i="11"/>
  <c r="E3" i="11" s="1"/>
  <c r="B52" i="11"/>
  <c r="C52" i="11"/>
  <c r="A53" i="11"/>
  <c r="B53" i="11" s="1"/>
  <c r="A54" i="11" l="1"/>
  <c r="B54" i="11" s="1"/>
  <c r="A55" i="11" l="1"/>
  <c r="B55" i="11" s="1"/>
  <c r="A56" i="11" l="1"/>
  <c r="B56" i="11" s="1"/>
  <c r="A57" i="11" l="1"/>
  <c r="B57" i="11" s="1"/>
  <c r="A58" i="11" l="1"/>
  <c r="B58" i="11" s="1"/>
  <c r="A59" i="11" l="1"/>
  <c r="B59" i="11" s="1"/>
  <c r="A60" i="11" l="1"/>
  <c r="B60" i="11" s="1"/>
  <c r="A61" i="11" l="1"/>
  <c r="B61" i="11" s="1"/>
  <c r="A62" i="11" l="1"/>
  <c r="B62" i="11" s="1"/>
  <c r="A63" i="11" l="1"/>
  <c r="B63" i="11" s="1"/>
  <c r="A64" i="11" l="1"/>
  <c r="B64" i="11" s="1"/>
  <c r="A65" i="11" l="1"/>
  <c r="B65" i="11" s="1"/>
  <c r="A66" i="11" l="1"/>
  <c r="B66" i="11" s="1"/>
  <c r="A67" i="11" l="1"/>
  <c r="B67" i="11" s="1"/>
  <c r="A68" i="11" l="1"/>
  <c r="B68" i="11" s="1"/>
  <c r="A69" i="11" l="1"/>
  <c r="B69" i="11" s="1"/>
  <c r="A70" i="11" l="1"/>
  <c r="B70" i="11" s="1"/>
  <c r="A71" i="11" l="1"/>
  <c r="B71" i="11" s="1"/>
  <c r="A72" i="11" l="1"/>
  <c r="B72" i="11" s="1"/>
  <c r="A73" i="11" l="1"/>
  <c r="B73" i="11" s="1"/>
  <c r="A74" i="11" l="1"/>
  <c r="B74" i="11" s="1"/>
  <c r="A75" i="11" l="1"/>
  <c r="B75" i="11" s="1"/>
  <c r="A76" i="11" l="1"/>
  <c r="B76" i="11" s="1"/>
  <c r="A77" i="11" l="1"/>
  <c r="B77" i="11" s="1"/>
  <c r="A78" i="11" l="1"/>
  <c r="B78" i="11" s="1"/>
  <c r="A79" i="11" l="1"/>
  <c r="B79" i="11" s="1"/>
  <c r="A80" i="11" l="1"/>
  <c r="B80" i="11" s="1"/>
  <c r="A81" i="11" l="1"/>
  <c r="B81" i="11" s="1"/>
  <c r="A82" i="11" l="1"/>
  <c r="B82" i="11" s="1"/>
  <c r="A83" i="11" l="1"/>
  <c r="B83" i="11" s="1"/>
  <c r="A84" i="11" l="1"/>
  <c r="B84" i="11" s="1"/>
  <c r="A85" i="11" l="1"/>
  <c r="B85" i="11" s="1"/>
  <c r="A86" i="11" l="1"/>
  <c r="B86" i="11" s="1"/>
  <c r="A87" i="11" l="1"/>
  <c r="B87" i="11" s="1"/>
  <c r="A88" i="11" l="1"/>
  <c r="B88" i="11" s="1"/>
  <c r="A89" i="11" l="1"/>
  <c r="B89" i="11" s="1"/>
  <c r="A90" i="11" l="1"/>
  <c r="B90" i="11" s="1"/>
  <c r="A91" i="11" l="1"/>
  <c r="B91" i="11" s="1"/>
  <c r="A92" i="11" l="1"/>
  <c r="B92" i="11" s="1"/>
  <c r="A93" i="11" l="1"/>
  <c r="B93" i="11" s="1"/>
  <c r="A94" i="11" l="1"/>
  <c r="B94" i="11" s="1"/>
  <c r="A95" i="11" l="1"/>
  <c r="B95" i="11" s="1"/>
  <c r="A96" i="11" l="1"/>
  <c r="B96" i="11" s="1"/>
  <c r="A97" i="11" l="1"/>
  <c r="B97" i="11" s="1"/>
  <c r="A98" i="11" l="1"/>
  <c r="B98" i="11" s="1"/>
  <c r="A99" i="11" l="1"/>
  <c r="B99" i="11" s="1"/>
  <c r="A100" i="11" l="1"/>
  <c r="B10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<sst xmlns="http://schemas.openxmlformats.org/spreadsheetml/2006/main" count="549" uniqueCount="330">
  <si>
    <t>Funding Sponsor</t>
  </si>
  <si>
    <t>Given at what visits?</t>
  </si>
  <si>
    <t>PennIDS@pennmedicine.upenn.edu</t>
  </si>
  <si>
    <t>IDSNorth@pennmedicine.upenn.edu</t>
  </si>
  <si>
    <t>Protocol (short title):</t>
  </si>
  <si>
    <t>Investigator:</t>
  </si>
  <si>
    <r>
      <rPr>
        <sz val="11"/>
        <color theme="10"/>
        <rFont val="Calibri"/>
        <family val="2"/>
        <scheme val="minor"/>
      </rPr>
      <t xml:space="preserve">    </t>
    </r>
    <r>
      <rPr>
        <u/>
        <sz val="11"/>
        <color theme="10"/>
        <rFont val="Calibri"/>
        <family val="2"/>
        <scheme val="minor"/>
      </rPr>
      <t>www.itmat.upenn.edu/ids.shtml</t>
    </r>
  </si>
  <si>
    <t>Service</t>
  </si>
  <si>
    <t>Quantity</t>
  </si>
  <si>
    <t>Instructions</t>
  </si>
  <si>
    <t>Field</t>
  </si>
  <si>
    <t>Contribution to Cost</t>
  </si>
  <si>
    <t>Protocol Review (1 to 5 scale for complexity) - MANDATORY for all trials</t>
  </si>
  <si>
    <t>Dispensing Procedure Creation (enter study complexity as a range of 1 (v simple) to 5 (complicated multiple meds))</t>
  </si>
  <si>
    <t>Staff Training on new study</t>
  </si>
  <si>
    <t xml:space="preserve">Use of CONTROLLED SUBSTANCES </t>
  </si>
  <si>
    <t>BEACON build</t>
  </si>
  <si>
    <t>Simple EPIC outpatient build</t>
  </si>
  <si>
    <t>Will study drug be provided to the IDS?*</t>
  </si>
  <si>
    <t>Will placebo be provided to the IDS?*</t>
  </si>
  <si>
    <t>Will you need randomization tables created?*</t>
  </si>
  <si>
    <t>Does sponsor require 'IVRS' training or 'GCP training' (sponsor-specific) before study launch?*</t>
  </si>
  <si>
    <t>Will study involve routine sponsored monitoring visits?</t>
  </si>
  <si>
    <t>Will the sponsor conduct an SIV prior to study launch?</t>
  </si>
  <si>
    <t xml:space="preserve">Do you need IDS to formulate blinded dosage forms for your trial? </t>
  </si>
  <si>
    <t>Special services (describe)</t>
  </si>
  <si>
    <t>Protocols involving inpatients at HUP or PPMC</t>
  </si>
  <si>
    <t>If YES: Is the study medication currently NOT marketed in the US for any other indication?</t>
  </si>
  <si>
    <t>Choose YES for ONLY ONE of the following:</t>
  </si>
  <si>
    <t>Does the protocol include always starting weekdays, though treatment may continue on weekends?</t>
  </si>
  <si>
    <t>Protocols involving multiple sites</t>
  </si>
  <si>
    <t>Does the project require sending product to other clinical sites (other investigators)?* (If NO: skip following 4 questions)</t>
  </si>
  <si>
    <t>If YES: how many other sites are planned?</t>
  </si>
  <si>
    <t xml:space="preserve">Enter actual # of sites IDS would be responsible for shipping to on a regular basis.  </t>
  </si>
  <si>
    <t>If YES: Are there international sites?</t>
  </si>
  <si>
    <t>If YES: Will you need a pharmacy manual or records created for other sites to use?</t>
  </si>
  <si>
    <t>If YES: Do you need IDS to attend or present to site staff at an investigator meeting? Or provide site training by Webinar?</t>
  </si>
  <si>
    <t>Relevant Cost Variables</t>
  </si>
  <si>
    <t>Variable</t>
  </si>
  <si>
    <t>Cost</t>
  </si>
  <si>
    <t>Pharmacist hourly rate</t>
  </si>
  <si>
    <t>Note any updates to these figures will auto-apply to</t>
  </si>
  <si>
    <t>Technician hourly rate</t>
  </si>
  <si>
    <t>all calculations above.  Pharmacist rate should match the</t>
  </si>
  <si>
    <t>Site set up fee</t>
  </si>
  <si>
    <t>Clinical Service Fee rate in Vestigo®.</t>
  </si>
  <si>
    <t>Total Cost:</t>
  </si>
  <si>
    <t>Yes or No</t>
  </si>
  <si>
    <t>Yes</t>
  </si>
  <si>
    <t>No</t>
  </si>
  <si>
    <t>Please refer to instructions for each section and enter value</t>
  </si>
  <si>
    <r>
      <rPr>
        <b/>
        <sz val="11"/>
        <rFont val="Calibri"/>
        <family val="2"/>
        <scheme val="minor"/>
      </rPr>
      <t>0</t>
    </r>
    <r>
      <rPr>
        <sz val="11"/>
        <rFont val="Calibri"/>
        <family val="2"/>
        <scheme val="minor"/>
      </rPr>
      <t xml:space="preserve"> for NO, </t>
    </r>
    <r>
      <rPr>
        <b/>
        <sz val="11"/>
        <rFont val="Calibri"/>
        <family val="2"/>
        <scheme val="minor"/>
      </rPr>
      <t>1</t>
    </r>
    <r>
      <rPr>
        <sz val="11"/>
        <rFont val="Calibri"/>
        <family val="2"/>
        <scheme val="minor"/>
      </rPr>
      <t xml:space="preserve"> for light monitoring (eg. sponsor or OCR visit once/year), </t>
    </r>
    <r>
      <rPr>
        <b/>
        <sz val="11"/>
        <rFont val="Calibri"/>
        <family val="2"/>
        <scheme val="minor"/>
      </rPr>
      <t>2</t>
    </r>
    <r>
      <rPr>
        <sz val="11"/>
        <rFont val="Calibri"/>
        <family val="2"/>
        <scheme val="minor"/>
      </rPr>
      <t xml:space="preserve"> for pharma/CRO monitoring multiple times/year, </t>
    </r>
    <r>
      <rPr>
        <b/>
        <sz val="11"/>
        <rFont val="Calibri"/>
        <family val="2"/>
        <scheme val="minor"/>
      </rPr>
      <t>3</t>
    </r>
    <r>
      <rPr>
        <sz val="11"/>
        <rFont val="Calibri"/>
        <family val="2"/>
        <scheme val="minor"/>
      </rPr>
      <t xml:space="preserve"> for intense monitoring (such as DAIDS quarterly full-day visits).</t>
    </r>
  </si>
  <si>
    <t>If YES to blinded dosage forms: How many different medications/strengths?</t>
  </si>
  <si>
    <r>
      <rPr>
        <b/>
        <sz val="11"/>
        <rFont val="Calibri"/>
        <family val="2"/>
        <scheme val="minor"/>
      </rPr>
      <t>0</t>
    </r>
    <r>
      <rPr>
        <sz val="11"/>
        <rFont val="Calibri"/>
        <family val="2"/>
        <scheme val="minor"/>
      </rPr>
      <t xml:space="preserve"> for NO, </t>
    </r>
    <r>
      <rPr>
        <b/>
        <sz val="11"/>
        <rFont val="Calibri"/>
        <family val="2"/>
        <scheme val="minor"/>
      </rPr>
      <t>1</t>
    </r>
    <r>
      <rPr>
        <sz val="11"/>
        <rFont val="Calibri"/>
        <family val="2"/>
        <scheme val="minor"/>
      </rPr>
      <t xml:space="preserve"> for YES, </t>
    </r>
    <r>
      <rPr>
        <b/>
        <sz val="11"/>
        <rFont val="Calibri"/>
        <family val="2"/>
        <scheme val="minor"/>
      </rPr>
      <t>2</t>
    </r>
    <r>
      <rPr>
        <sz val="11"/>
        <rFont val="Calibri"/>
        <family val="2"/>
        <scheme val="minor"/>
      </rPr>
      <t xml:space="preserve"> if multiple non-marketed agents.  If 'yes' then monograph must be written per UPHS policy</t>
    </r>
  </si>
  <si>
    <r>
      <rPr>
        <b/>
        <sz val="11"/>
        <rFont val="Calibri"/>
        <family val="2"/>
        <scheme val="minor"/>
      </rPr>
      <t xml:space="preserve"> 1</t>
    </r>
    <r>
      <rPr>
        <sz val="11"/>
        <rFont val="Calibri"/>
        <family val="2"/>
        <scheme val="minor"/>
      </rPr>
      <t xml:space="preserve"> = PI-initiated simple open-label single agent no manipulation</t>
    </r>
  </si>
  <si>
    <r>
      <t xml:space="preserve"> </t>
    </r>
    <r>
      <rPr>
        <b/>
        <sz val="11"/>
        <rFont val="Calibri"/>
        <family val="2"/>
        <scheme val="minor"/>
      </rPr>
      <t>4</t>
    </r>
    <r>
      <rPr>
        <sz val="11"/>
        <rFont val="Calibri"/>
        <family val="2"/>
        <scheme val="minor"/>
      </rPr>
      <t xml:space="preserve"> = Multiple agents, complex preparation, logistical questions</t>
    </r>
  </si>
  <si>
    <r>
      <t xml:space="preserve"> </t>
    </r>
    <r>
      <rPr>
        <b/>
        <sz val="11"/>
        <rFont val="Calibri"/>
        <family val="2"/>
        <scheme val="minor"/>
      </rPr>
      <t>5</t>
    </r>
    <r>
      <rPr>
        <sz val="11"/>
        <rFont val="Calibri"/>
        <family val="2"/>
        <scheme val="minor"/>
      </rPr>
      <t xml:space="preserve"> = Requires input to protocol design/language, CMC, etc</t>
    </r>
  </si>
  <si>
    <r>
      <t xml:space="preserve"> (</t>
    </r>
    <r>
      <rPr>
        <b/>
        <sz val="11"/>
        <rFont val="Calibri"/>
        <family val="2"/>
        <scheme val="minor"/>
      </rPr>
      <t>1</t>
    </r>
    <r>
      <rPr>
        <sz val="11"/>
        <rFont val="Calibri"/>
        <family val="2"/>
        <scheme val="minor"/>
      </rPr>
      <t xml:space="preserve"> = up to 5 minutes, </t>
    </r>
    <r>
      <rPr>
        <b/>
        <sz val="11"/>
        <rFont val="Calibri"/>
        <family val="2"/>
        <scheme val="minor"/>
      </rPr>
      <t>2</t>
    </r>
    <r>
      <rPr>
        <sz val="11"/>
        <rFont val="Calibri"/>
        <family val="2"/>
        <scheme val="minor"/>
      </rPr>
      <t xml:space="preserve"> = up to 10 minutes, </t>
    </r>
    <r>
      <rPr>
        <b/>
        <sz val="11"/>
        <rFont val="Calibri"/>
        <family val="2"/>
        <scheme val="minor"/>
      </rPr>
      <t>3</t>
    </r>
    <r>
      <rPr>
        <sz val="11"/>
        <rFont val="Calibri"/>
        <family val="2"/>
        <scheme val="minor"/>
      </rPr>
      <t xml:space="preserve"> = more complex)</t>
    </r>
  </si>
  <si>
    <r>
      <rPr>
        <b/>
        <sz val="11"/>
        <rFont val="Calibri"/>
        <family val="2"/>
        <scheme val="minor"/>
      </rPr>
      <t xml:space="preserve"> 4</t>
    </r>
    <r>
      <rPr>
        <sz val="11"/>
        <rFont val="Calibri"/>
        <family val="2"/>
        <scheme val="minor"/>
      </rPr>
      <t xml:space="preserve"> for C-I, </t>
    </r>
    <r>
      <rPr>
        <b/>
        <sz val="11"/>
        <rFont val="Calibri"/>
        <family val="2"/>
        <scheme val="minor"/>
      </rPr>
      <t>2</t>
    </r>
    <r>
      <rPr>
        <sz val="11"/>
        <rFont val="Calibri"/>
        <family val="2"/>
        <scheme val="minor"/>
      </rPr>
      <t xml:space="preserve"> for C-II, </t>
    </r>
    <r>
      <rPr>
        <b/>
        <sz val="11"/>
        <rFont val="Calibri"/>
        <family val="2"/>
        <scheme val="minor"/>
      </rPr>
      <t>1</t>
    </r>
    <r>
      <rPr>
        <sz val="11"/>
        <rFont val="Calibri"/>
        <family val="2"/>
        <scheme val="minor"/>
      </rPr>
      <t xml:space="preserve"> for C-III or C-IV or C-V, </t>
    </r>
    <r>
      <rPr>
        <b/>
        <sz val="11"/>
        <rFont val="Calibri"/>
        <family val="2"/>
        <scheme val="minor"/>
      </rPr>
      <t>0</t>
    </r>
    <r>
      <rPr>
        <sz val="11"/>
        <rFont val="Calibri"/>
        <family val="2"/>
        <scheme val="minor"/>
      </rPr>
      <t xml:space="preserve"> for non-sched</t>
    </r>
  </si>
  <si>
    <r>
      <rPr>
        <b/>
        <sz val="11"/>
        <rFont val="Calibri"/>
        <family val="2"/>
        <scheme val="minor"/>
      </rPr>
      <t>Enter number of products</t>
    </r>
    <r>
      <rPr>
        <sz val="11"/>
        <rFont val="Calibri"/>
        <family val="2"/>
        <scheme val="minor"/>
      </rPr>
      <t xml:space="preserve"> (1 for one, 2 for two, 3 for three, etc).  Note that active drug and matching placebo = 2; high dose, low dose and placebo = 3; etc.</t>
    </r>
  </si>
  <si>
    <r>
      <rPr>
        <b/>
        <sz val="11"/>
        <rFont val="Calibri"/>
        <family val="2"/>
        <scheme val="minor"/>
      </rPr>
      <t>Yes or No</t>
    </r>
    <r>
      <rPr>
        <sz val="11"/>
        <rFont val="Calibri"/>
        <family val="2"/>
        <scheme val="minor"/>
      </rPr>
      <t>.  The 24/7 requires separate inpatient staff procedures and staff training and setup, plus carrying protocol information when on-call</t>
    </r>
  </si>
  <si>
    <r>
      <rPr>
        <b/>
        <sz val="11"/>
        <rFont val="Calibri"/>
        <family val="2"/>
        <scheme val="minor"/>
      </rPr>
      <t>Enter # of other countries (not sites) involved.</t>
    </r>
    <r>
      <rPr>
        <sz val="11"/>
        <rFont val="Calibri"/>
        <family val="2"/>
        <scheme val="minor"/>
      </rPr>
      <t xml:space="preserve">  Example, if Canadian sites enter (1); if Canada and Mexico, enter (2).  This figure is an allowance for determining import/export requirements but does not include applying for import licenses.  Local PI is typically responsible for that step.</t>
    </r>
  </si>
  <si>
    <t>Compounding</t>
  </si>
  <si>
    <t>Dispensing</t>
  </si>
  <si>
    <t>Sterile Prep - complex</t>
  </si>
  <si>
    <t>Sterile Prep - moderate</t>
  </si>
  <si>
    <t>Sterile Prep - simple</t>
  </si>
  <si>
    <t>Other</t>
  </si>
  <si>
    <t>Bioburden (Colony Count - USP &lt;61/62&gt;)</t>
  </si>
  <si>
    <t>Colony Count (e-Coli / water quality)</t>
  </si>
  <si>
    <t>Deliverable Volume Test (USP &lt;698&gt;)</t>
  </si>
  <si>
    <t>pH of Sample (USP&lt;791&gt;)</t>
  </si>
  <si>
    <t>Sterility Testing (14 Day Incubation, USP&lt;71&gt;)</t>
  </si>
  <si>
    <t>Sterility Testing (Rapid Microbial Assay)</t>
  </si>
  <si>
    <t>Manual Temperature Records</t>
  </si>
  <si>
    <t># of Agents</t>
  </si>
  <si>
    <t>Monitoring</t>
  </si>
  <si>
    <t>Minimal</t>
  </si>
  <si>
    <t># of Locations</t>
  </si>
  <si>
    <t>None</t>
  </si>
  <si>
    <t>Simple</t>
  </si>
  <si>
    <t>Advanced</t>
  </si>
  <si>
    <t>Intensive</t>
  </si>
  <si>
    <t>Tier 1</t>
  </si>
  <si>
    <t>Tier 2</t>
  </si>
  <si>
    <t>Routine</t>
  </si>
  <si>
    <t>Tier 3</t>
  </si>
  <si>
    <t>Tier 4</t>
  </si>
  <si>
    <t>Tier 5</t>
  </si>
  <si>
    <t>Tier 6</t>
  </si>
  <si>
    <t>Definition</t>
  </si>
  <si>
    <t>Lab testing for bacterial bioburden (typically for oral or topical preparations)</t>
  </si>
  <si>
    <t>Lab testing for eColi (typically for oral or topical preparations)</t>
  </si>
  <si>
    <t>Official USP test for recoverable volume of a liquid product from filled containers</t>
  </si>
  <si>
    <t>Lab testing - Official USP test for presence of particulates in a solution</t>
  </si>
  <si>
    <t>Lab testing of liquid sample for pH</t>
  </si>
  <si>
    <t>Lab testing - official USP direct inoculation method for growth of microorganisms</t>
  </si>
  <si>
    <t>Lab testing - rapid test for growth of microorganisms</t>
  </si>
  <si>
    <t>Weekly cost, if sponsor requires IDS maintain separate written daily temperature logs (separate from primary system)</t>
  </si>
  <si>
    <t>Category</t>
  </si>
  <si>
    <t>Dispensing &amp; Meds</t>
  </si>
  <si>
    <t># of Subjects</t>
  </si>
  <si>
    <t>Enter the number of locations the study is taking place or the number of locations IDS  will store products(ex. at both HUP and PPMC, or IDS storing product product in other locations such as maintaining starter kits in the emergency department)</t>
  </si>
  <si>
    <t>Annual Maintenance</t>
  </si>
  <si>
    <t>Please complete the above table to determine the level of maintenance required. Descriptions for each column are detailed below.</t>
  </si>
  <si>
    <t>Testing</t>
  </si>
  <si>
    <t># of Tests</t>
  </si>
  <si>
    <t>Service Count</t>
  </si>
  <si>
    <t>Rate</t>
  </si>
  <si>
    <t>Price</t>
  </si>
  <si>
    <t>Drugs to be Purchased</t>
  </si>
  <si>
    <t>Type</t>
  </si>
  <si>
    <r>
      <t xml:space="preserve">Service </t>
    </r>
    <r>
      <rPr>
        <b/>
        <i/>
        <sz val="9"/>
        <color rgb="FFFF0000"/>
        <rFont val="Calibri"/>
        <family val="2"/>
        <scheme val="minor"/>
      </rPr>
      <t>(dropdown - refer to list on the right for info)</t>
    </r>
  </si>
  <si>
    <r>
      <t>Dispensing Service</t>
    </r>
    <r>
      <rPr>
        <b/>
        <i/>
        <sz val="11"/>
        <color theme="1"/>
        <rFont val="Calibri"/>
        <family val="2"/>
        <scheme val="minor"/>
      </rPr>
      <t xml:space="preserve"> </t>
    </r>
    <r>
      <rPr>
        <b/>
        <i/>
        <sz val="9"/>
        <color rgb="FFFF0000"/>
        <rFont val="Calibri"/>
        <family val="2"/>
        <scheme val="minor"/>
      </rPr>
      <t>(dropdown - refer to list on the right for info)</t>
    </r>
  </si>
  <si>
    <r>
      <t>Service</t>
    </r>
    <r>
      <rPr>
        <b/>
        <i/>
        <sz val="11"/>
        <color rgb="FFFF0000"/>
        <rFont val="Calibri"/>
        <family val="2"/>
        <scheme val="minor"/>
      </rPr>
      <t xml:space="preserve"> </t>
    </r>
    <r>
      <rPr>
        <b/>
        <i/>
        <sz val="9"/>
        <color rgb="FFFF0000"/>
        <rFont val="Calibri"/>
        <family val="2"/>
        <scheme val="minor"/>
      </rPr>
      <t>(dropdown - refer to list on the right for info)</t>
    </r>
  </si>
  <si>
    <t>Notes/Comments</t>
  </si>
  <si>
    <t>Service Name</t>
  </si>
  <si>
    <t>Amount Per</t>
  </si>
  <si>
    <t>Total Price</t>
  </si>
  <si>
    <t>Price per</t>
  </si>
  <si>
    <t>Please Select Rate Category:</t>
  </si>
  <si>
    <t>Please complete this worksheet as accurately as possible to make sure you receive an accurate estimate!</t>
  </si>
  <si>
    <t>required.</t>
  </si>
  <si>
    <t>Maintenance</t>
  </si>
  <si>
    <t>Please complete each cell color-coated in blue. Descriptions for each column are provided.</t>
  </si>
  <si>
    <t>Testing (Laboratory testing such as sterility or drug potency)</t>
  </si>
  <si>
    <t>Please explain what needs to be made below. If a service is not listed under the service dropdown, please describe your request below.</t>
  </si>
  <si>
    <r>
      <t>IDS Service &amp; Medications Worksheet</t>
    </r>
    <r>
      <rPr>
        <b/>
        <i/>
        <u/>
        <sz val="10"/>
        <color theme="1"/>
        <rFont val="Calibri"/>
        <family val="2"/>
        <scheme val="minor"/>
      </rPr>
      <t xml:space="preserve"> </t>
    </r>
    <r>
      <rPr>
        <b/>
        <i/>
        <u/>
        <sz val="10"/>
        <color rgb="FFFF0000"/>
        <rFont val="Calibri"/>
        <family val="2"/>
        <scheme val="minor"/>
      </rPr>
      <t>(Please scroll down thru each section and complete where applicable)</t>
    </r>
  </si>
  <si>
    <t>IDS Purchase (Yes/No)</t>
  </si>
  <si>
    <r>
      <t xml:space="preserve">Protocol Setup Costs </t>
    </r>
    <r>
      <rPr>
        <b/>
        <i/>
        <u/>
        <sz val="10"/>
        <color rgb="FFFF0000"/>
        <rFont val="Calibri"/>
        <family val="2"/>
        <scheme val="minor"/>
      </rPr>
      <t>(Please complete all of column B. Be sure to scroll all the way down)</t>
    </r>
  </si>
  <si>
    <t>Med Name &amp; Dose (ex. Ibuprofen 5mg)</t>
  </si>
  <si>
    <r>
      <t xml:space="preserve">Drug Name &amp; Dose </t>
    </r>
    <r>
      <rPr>
        <b/>
        <i/>
        <sz val="10"/>
        <color rgb="FFFF0000"/>
        <rFont val="Calibri"/>
        <family val="2"/>
        <scheme val="minor"/>
      </rPr>
      <t>(Pulled from Protocol Cover Sheet)</t>
    </r>
  </si>
  <si>
    <t>Prescription Type(IV, Bottle, Tablet etc.)</t>
  </si>
  <si>
    <t># Visits/IP Days Drug Dispensed per Subject</t>
  </si>
  <si>
    <t># of Visits Per Subject</t>
  </si>
  <si>
    <t>Quantity Dispensed per Visit/IP day (If container, enter quantity inside container)</t>
  </si>
  <si>
    <t>Random</t>
  </si>
  <si>
    <t>Non-Industry</t>
  </si>
  <si>
    <t>Industry</t>
  </si>
  <si>
    <t>External</t>
  </si>
  <si>
    <t>Kit Preparation (each)</t>
  </si>
  <si>
    <t>Special preparations (each)</t>
  </si>
  <si>
    <t>IVRS Drug Assignment by IDS (Yes/No)</t>
  </si>
  <si>
    <t>IVRS Drug Assignment</t>
  </si>
  <si>
    <t>Particulate Testing (USP &lt;790&gt;)</t>
  </si>
  <si>
    <t>Endotoxin/Pyrogen Testing (USP &lt;85&gt;)</t>
  </si>
  <si>
    <t>HPLC Assay</t>
  </si>
  <si>
    <t>USP compliant lab testing for endotoxins/pyrogens in a solution</t>
  </si>
  <si>
    <t>Lab testing - HPLC potency testing</t>
  </si>
  <si>
    <t>Other (Leave blank if nothing in the dropdown list applies)</t>
  </si>
  <si>
    <t>EDC data entry</t>
  </si>
  <si>
    <t xml:space="preserve">Medications: </t>
  </si>
  <si>
    <t>IDS use only</t>
  </si>
  <si>
    <r>
      <rPr>
        <b/>
        <sz val="11"/>
        <rFont val="Calibri"/>
        <family val="2"/>
        <scheme val="minor"/>
      </rPr>
      <t>Special services</t>
    </r>
    <r>
      <rPr>
        <sz val="11"/>
        <rFont val="Calibri"/>
        <family val="2"/>
        <scheme val="minor"/>
      </rPr>
      <t xml:space="preserve"> (please describe as best as possible, any special service needed, not covered in this worksheet)</t>
    </r>
  </si>
  <si>
    <t>Does the protocol involve inpatients at HUP or inpatients in CHPS?* (If NO: skip following questions)</t>
  </si>
  <si>
    <t>Compounding/Manufacturing (Making capsules, ointments, suspensions, etc.)</t>
  </si>
  <si>
    <t>Complexity Score:</t>
  </si>
  <si>
    <t>Complexity score of 0. Complexity score is calculated based on a number of factors such as the number of steps, calculations, special handling/transport, completion of sponsor worksheets, etc.)</t>
  </si>
  <si>
    <t>Capsules/Tablets?</t>
  </si>
  <si>
    <t>Complexity score between 1-2. Complexity score is calculated based on a number of factors such as the number of steps, calculations, special handling/transport, completion of sponsor worksheets, etc.)</t>
  </si>
  <si>
    <t>Syringe?</t>
  </si>
  <si>
    <t>IV bag?</t>
  </si>
  <si>
    <t>Complexity score between 3-5. Complexity score is calculated based on a number of factors such as the number of steps, calculations, special handling/transport, completion of sponsor worksheets, etc.)</t>
  </si>
  <si>
    <t>Thawing Required?</t>
  </si>
  <si>
    <t>Sterile Prep - very complex</t>
  </si>
  <si>
    <t>Complexity score between 6-9. Complexity score is calculated based on a number of factors such as the number of steps, calculations, special handling/transport, completion of sponsor worksheets, etc.)</t>
  </si>
  <si>
    <t>Sterile Prep - special preparation</t>
  </si>
  <si>
    <t>Complexity score greater than 9. Complexity score is calculated based on a number of factors such as the number of steps, calculations, special handling/transport, completion of sponsor worksheets, etc.)</t>
  </si>
  <si>
    <t>Filtration Required?</t>
  </si>
  <si>
    <t>Blinding of dispensed product(by IDS)?</t>
  </si>
  <si>
    <t>Sponsor worksheets required to be completed by IDS each dispense?</t>
  </si>
  <si>
    <t># of subjects</t>
  </si>
  <si>
    <t># of times drug dispensed per subject?</t>
  </si>
  <si>
    <t>Calculations Required?(ie. based on subject weight, etc.)</t>
  </si>
  <si>
    <t>Special Transport?(ie. Special containers, dry ice, etc., Please explain)</t>
  </si>
  <si>
    <t>If Yes to filtration, how many filtrations required?</t>
  </si>
  <si>
    <t>Make sure to scroll down to see all the sections available.</t>
  </si>
  <si>
    <t>Please complete each section of the form if applicable(Compounding, Testing, Other).</t>
  </si>
  <si>
    <t>Manufacturing-Testing-Other</t>
  </si>
  <si>
    <t>If Yes to "capsules/tablets", how many capsules/tablets dispensed per visit?</t>
  </si>
  <si>
    <r>
      <rPr>
        <b/>
        <sz val="11"/>
        <color theme="1"/>
        <rFont val="Calibri"/>
        <family val="2"/>
        <scheme val="minor"/>
      </rPr>
      <t>Minimal:</t>
    </r>
    <r>
      <rPr>
        <sz val="11"/>
        <color theme="1"/>
        <rFont val="Calibri"/>
        <family val="2"/>
        <scheme val="minor"/>
      </rPr>
      <t xml:space="preserve"> once/year or less (Ex. Contracting with OCR or an internal monitor to conduct a single monitoring visit as due diligence)</t>
    </r>
  </si>
  <si>
    <r>
      <rPr>
        <b/>
        <sz val="11"/>
        <color theme="1"/>
        <rFont val="Calibri"/>
        <family val="2"/>
        <scheme val="minor"/>
      </rPr>
      <t>Routine:</t>
    </r>
    <r>
      <rPr>
        <sz val="11"/>
        <color theme="1"/>
        <rFont val="Calibri"/>
        <family val="2"/>
        <scheme val="minor"/>
      </rPr>
      <t xml:space="preserve"> typical industry  trial - where study monitor conducts 2-4 monitoring visits per year</t>
    </r>
  </si>
  <si>
    <r>
      <rPr>
        <b/>
        <sz val="11"/>
        <color theme="1"/>
        <rFont val="Calibri"/>
        <family val="2"/>
        <scheme val="minor"/>
      </rPr>
      <t>Intensive:</t>
    </r>
    <r>
      <rPr>
        <sz val="11"/>
        <color theme="1"/>
        <rFont val="Calibri"/>
        <family val="2"/>
        <scheme val="minor"/>
      </rPr>
      <t xml:space="preserve"> frequent visits (such as every 4-6 weeks) or long or extended visits (such as DAIDS/NIADS audits that may span an entire day, every quarter</t>
    </r>
  </si>
  <si>
    <t>Pre-packaged/Unit dose dispense(ie. with no counting or preparation)?</t>
  </si>
  <si>
    <t>Will IDS prepare the syringe? (In most cases, IDS must prep, unless it is prefilled or drug stability is less than an hour)</t>
  </si>
  <si>
    <t>Notes/Comments(any information relevant to the dispense that is not asked in this questionnaire):</t>
  </si>
  <si>
    <t>Gene/Cell Therapy or Vector(ex. Viral)?</t>
  </si>
  <si>
    <t>Dilution/Reconstitution Required?</t>
  </si>
  <si>
    <t>Will IDS need to work with IVRS/IRT/IWRS system to dispense medication?</t>
  </si>
  <si>
    <t>Enter the # of agents that IDS will be responsible for managing and maintaining. Different strengths of drug should be added separately. (ie. Ibuprofin 200mg, and 600mg would equal 2)</t>
  </si>
  <si>
    <t>IVRS for Tracking Shipments/Inventory?</t>
  </si>
  <si>
    <t>IVRS for Tracking Shipments/Inventory</t>
  </si>
  <si>
    <t>If a sponsor system/application must be used to track shipments/inventory, please select "Yes".</t>
  </si>
  <si>
    <t>Do you require assistance with pharmacy manual language (how many hours)?</t>
  </si>
  <si>
    <t>Does the protocol require 24/7 access for enrollment and dosing?</t>
  </si>
  <si>
    <t>Does the protocol permit dosing ONLY during weekday hours?</t>
  </si>
  <si>
    <r>
      <rPr>
        <b/>
        <sz val="11"/>
        <rFont val="Calibri"/>
        <family val="2"/>
        <scheme val="minor"/>
      </rPr>
      <t xml:space="preserve"> 2</t>
    </r>
    <r>
      <rPr>
        <sz val="11"/>
        <rFont val="Calibri"/>
        <family val="2"/>
        <scheme val="minor"/>
      </rPr>
      <t xml:space="preserve"> = 1-2 agents with little to no preparation involved</t>
    </r>
  </si>
  <si>
    <r>
      <rPr>
        <b/>
        <sz val="11"/>
        <rFont val="Calibri"/>
        <family val="2"/>
        <scheme val="minor"/>
      </rPr>
      <t xml:space="preserve"> 3</t>
    </r>
    <r>
      <rPr>
        <sz val="11"/>
        <rFont val="Calibri"/>
        <family val="2"/>
        <scheme val="minor"/>
      </rPr>
      <t xml:space="preserve"> = More than 2 agents or sterile preparation needed</t>
    </r>
  </si>
  <si>
    <t>Variable - hourly.  Need to see existing pharmacy manual draft and how much is left to fill in.  Typically between 2h (for 1-2 pages) to 4h.</t>
  </si>
  <si>
    <r>
      <rPr>
        <b/>
        <sz val="10"/>
        <color theme="1"/>
        <rFont val="Calibri"/>
        <family val="2"/>
        <scheme val="minor"/>
      </rPr>
      <t>IDS CENTRAL:</t>
    </r>
    <r>
      <rPr>
        <sz val="10"/>
        <color theme="1"/>
        <rFont val="Calibri"/>
        <family val="2"/>
        <scheme val="minor"/>
      </rPr>
      <t xml:space="preserve">  3600 Civic Center Blvd / 10</t>
    </r>
    <r>
      <rPr>
        <vertAlign val="superscript"/>
        <sz val="10"/>
        <color theme="1"/>
        <rFont val="Calibri"/>
        <family val="2"/>
        <scheme val="minor"/>
      </rPr>
      <t>th</t>
    </r>
    <r>
      <rPr>
        <sz val="10"/>
        <color theme="1"/>
        <rFont val="Calibri"/>
        <family val="2"/>
        <scheme val="minor"/>
      </rPr>
      <t xml:space="preserve"> Floor / Philadelphia, PA 19104 / 215-662-7911 / fax 215-615-1308</t>
    </r>
  </si>
  <si>
    <r>
      <rPr>
        <b/>
        <sz val="10"/>
        <color theme="1"/>
        <rFont val="Calibri"/>
        <family val="2"/>
        <scheme val="minor"/>
      </rPr>
      <t>IDS NORTH:</t>
    </r>
    <r>
      <rPr>
        <sz val="10"/>
        <color theme="1"/>
        <rFont val="Calibri"/>
        <family val="2"/>
        <scheme val="minor"/>
      </rPr>
      <t xml:space="preserve">  51 N 39</t>
    </r>
    <r>
      <rPr>
        <vertAlign val="superscript"/>
        <sz val="10"/>
        <color theme="1"/>
        <rFont val="Calibri"/>
        <family val="2"/>
        <scheme val="minor"/>
      </rPr>
      <t>th</t>
    </r>
    <r>
      <rPr>
        <sz val="10"/>
        <color theme="1"/>
        <rFont val="Calibri"/>
        <family val="2"/>
        <scheme val="minor"/>
      </rPr>
      <t xml:space="preserve"> St / 103 Mutch Bldg / Philadelphia, PA 19104 / 215-662-9995 / fax 215-243-4645</t>
    </r>
  </si>
  <si>
    <r>
      <rPr>
        <b/>
        <sz val="10"/>
        <color theme="1"/>
        <rFont val="Calibri"/>
        <family val="2"/>
        <scheme val="minor"/>
      </rPr>
      <t>IDS SMILOW:</t>
    </r>
    <r>
      <rPr>
        <sz val="10"/>
        <color theme="1"/>
        <rFont val="Calibri"/>
        <family val="2"/>
        <scheme val="minor"/>
      </rPr>
      <t xml:space="preserve">  3400 Civic Center Blvd / Room 161 / Philadelphia, PA 19104 / 215-662-3342 / fax 215-349-5132</t>
    </r>
  </si>
  <si>
    <r>
      <t xml:space="preserve">     </t>
    </r>
    <r>
      <rPr>
        <b/>
        <sz val="10"/>
        <color theme="1"/>
        <rFont val="Constantia"/>
        <family val="1"/>
      </rPr>
      <t xml:space="preserve">   </t>
    </r>
    <r>
      <rPr>
        <b/>
        <sz val="9.5"/>
        <color theme="1"/>
        <rFont val="Constantia"/>
        <family val="1"/>
      </rPr>
      <t>Investigational Drug Service - University of Pennsylvania – Perelman School of Medicine</t>
    </r>
  </si>
  <si>
    <t>Is the medication commercially available?</t>
  </si>
  <si>
    <t>Determination</t>
  </si>
  <si>
    <t>Is accountability required by sponsor?</t>
  </si>
  <si>
    <t>Medication List will pull from "Medications" tab. Please be sure to answer all questions on that tab for each medication listed.</t>
  </si>
  <si>
    <t>Medication List</t>
  </si>
  <si>
    <t>Will medication be provided by sponsor?</t>
  </si>
  <si>
    <t>Sponsor Provided? (Yes/No)</t>
  </si>
  <si>
    <t>Please list all medications to be dispensed. If you know for sure IDS will not dispense the medication(ex. SOC med), you do not have to list it. This questionnaire will help determine if a medication will need to be dispensed by IDS. Please be sure to answer all questions.</t>
  </si>
  <si>
    <t>Please list all medications to be dispensed per the protocol, and answer all questions for each medication.</t>
  </si>
  <si>
    <t>Will multiple containers(ie. bottles, vials, etc.) be dispensed?</t>
  </si>
  <si>
    <t>Research build</t>
  </si>
  <si>
    <t>Rx - Simple</t>
  </si>
  <si>
    <t>Rx - Moderate</t>
  </si>
  <si>
    <t>Rx - Complex</t>
  </si>
  <si>
    <t>Rx - Very Complex</t>
  </si>
  <si>
    <t>Complexity score greater than 2-3. Complexity score is calculated based on a number of factors such as the number of steps, calculations, special handling/transport, completion of sponsor worksheets, etc.)</t>
  </si>
  <si>
    <t>Complexity score greater than 4. Complexity score is calculated based on a number of factors such as the number of steps, calculations, special handling/transport, completion of sponsor worksheets, etc.)</t>
  </si>
  <si>
    <t>Capsule Manufacturing (per 300 caps) -- simple</t>
  </si>
  <si>
    <t>Capsule Manufacturing (per 300 caps) -- complex</t>
  </si>
  <si>
    <t>Data entry in EDC/sponsor system – study drug dispensing, patient returns, drug destruction (per event)</t>
  </si>
  <si>
    <t>Supplies to be Purchased</t>
  </si>
  <si>
    <t>Appearance</t>
  </si>
  <si>
    <t>Method Validation</t>
  </si>
  <si>
    <t>Visual inspection to ensure free of inappropriate visible particles, foreign matter, discoloration, or other defects</t>
  </si>
  <si>
    <t>USP &lt;71&gt; method suitability test to validate sterility results for new product preparation</t>
  </si>
  <si>
    <t>Is this an early phase study (Phase I or I/II)?</t>
  </si>
  <si>
    <t>Will there be individually numbered and tracked inventory units?</t>
  </si>
  <si>
    <t>Will BSL2 handling be required?</t>
  </si>
  <si>
    <t>Ultracold freezer (-80 degrees Celsius)?</t>
  </si>
  <si>
    <t>Is this an investigator initiated study?</t>
  </si>
  <si>
    <t>Enrollment and/or dispensing outside of standard IDS business hours required?</t>
  </si>
  <si>
    <t>Bulky or oversized packaging/additional inventory storage needs?</t>
  </si>
  <si>
    <t>Competitive, high, or rapid enrollment?</t>
  </si>
  <si>
    <t>Protocol Review (1 to 5 scale for complexity)</t>
  </si>
  <si>
    <t>Dispensing Procedure Creation (1 to 5 scale for complexity)</t>
  </si>
  <si>
    <t>Use of Controlled Substances?</t>
  </si>
  <si>
    <t>Is a BEACON build required?</t>
  </si>
  <si>
    <t>Is a Research Build required?</t>
  </si>
  <si>
    <t>Will you need randomization tables created?</t>
  </si>
  <si>
    <t xml:space="preserve">Do you need IDS to formulate blinded dosage forms for your trial (Compounding)? </t>
  </si>
  <si>
    <t>Does the protocol involve inpatients at HUP or inpatients in CHPS?* (If NO: skip following question)</t>
  </si>
  <si>
    <t>Does the project require sending product to other clinical sites (other investigators)? (If NO: skip following 4 questions)</t>
  </si>
  <si>
    <t>Special services (please describe below, as best as possible, any special service needed, not covered in this worksheet)</t>
  </si>
  <si>
    <t>Number of locations (Internal &amp; External Combined)?</t>
  </si>
  <si>
    <t>Do you need a kit or package designed for dispensing (i.e. blister cards, boxed vials)?</t>
  </si>
  <si>
    <t>Initiation</t>
  </si>
  <si>
    <r>
      <rPr>
        <b/>
        <sz val="10"/>
        <rFont val="Calibri"/>
        <family val="2"/>
        <scheme val="minor"/>
      </rPr>
      <t>4</t>
    </r>
    <r>
      <rPr>
        <sz val="10"/>
        <rFont val="Calibri"/>
        <family val="2"/>
        <scheme val="minor"/>
      </rPr>
      <t xml:space="preserve"> for C-I, </t>
    </r>
    <r>
      <rPr>
        <b/>
        <sz val="10"/>
        <rFont val="Calibri"/>
        <family val="2"/>
        <scheme val="minor"/>
      </rPr>
      <t>2</t>
    </r>
    <r>
      <rPr>
        <sz val="10"/>
        <rFont val="Calibri"/>
        <family val="2"/>
        <scheme val="minor"/>
      </rPr>
      <t xml:space="preserve"> for C-II, </t>
    </r>
    <r>
      <rPr>
        <b/>
        <sz val="10"/>
        <rFont val="Calibri"/>
        <family val="2"/>
        <scheme val="minor"/>
      </rPr>
      <t>1</t>
    </r>
    <r>
      <rPr>
        <sz val="10"/>
        <rFont val="Calibri"/>
        <family val="2"/>
        <scheme val="minor"/>
      </rPr>
      <t xml:space="preserve"> for C-III or C-IV or C-V, </t>
    </r>
    <r>
      <rPr>
        <b/>
        <sz val="10"/>
        <rFont val="Calibri"/>
        <family val="2"/>
        <scheme val="minor"/>
      </rPr>
      <t>0</t>
    </r>
    <r>
      <rPr>
        <sz val="10"/>
        <rFont val="Calibri"/>
        <family val="2"/>
        <scheme val="minor"/>
      </rPr>
      <t xml:space="preserve"> for non-sched</t>
    </r>
  </si>
  <si>
    <t>Input Value</t>
  </si>
  <si>
    <r>
      <rPr>
        <b/>
        <sz val="10"/>
        <color theme="1"/>
        <rFont val="Calibri"/>
        <family val="2"/>
        <scheme val="minor"/>
      </rPr>
      <t>0</t>
    </r>
    <r>
      <rPr>
        <sz val="10"/>
        <color theme="1"/>
        <rFont val="Calibri"/>
        <family val="2"/>
        <scheme val="minor"/>
      </rPr>
      <t xml:space="preserve"> for NO, </t>
    </r>
    <r>
      <rPr>
        <b/>
        <sz val="10"/>
        <color theme="1"/>
        <rFont val="Calibri"/>
        <family val="2"/>
        <scheme val="minor"/>
      </rPr>
      <t>1</t>
    </r>
    <r>
      <rPr>
        <sz val="10"/>
        <color theme="1"/>
        <rFont val="Calibri"/>
        <family val="2"/>
        <scheme val="minor"/>
      </rPr>
      <t xml:space="preserve"> for YES, </t>
    </r>
    <r>
      <rPr>
        <b/>
        <sz val="10"/>
        <color theme="1"/>
        <rFont val="Calibri"/>
        <family val="2"/>
        <scheme val="minor"/>
      </rPr>
      <t>2</t>
    </r>
    <r>
      <rPr>
        <sz val="10"/>
        <color theme="1"/>
        <rFont val="Calibri"/>
        <family val="2"/>
        <scheme val="minor"/>
      </rPr>
      <t xml:space="preserve"> if multiple non-marketed agents.  If 'yes' then monograph must be written per UPHS policy</t>
    </r>
  </si>
  <si>
    <r>
      <rPr>
        <b/>
        <sz val="10"/>
        <color theme="1"/>
        <rFont val="Calibri"/>
        <family val="2"/>
        <scheme val="minor"/>
      </rPr>
      <t>Enter number of products</t>
    </r>
    <r>
      <rPr>
        <sz val="10"/>
        <color theme="1"/>
        <rFont val="Calibri"/>
        <family val="2"/>
        <scheme val="minor"/>
      </rPr>
      <t xml:space="preserve"> (1 for one, 2 for two, 3 for three, etc).  Note that active drug and matching placebo = 2; high dose, low dose and placebo = 3; etc.</t>
    </r>
  </si>
  <si>
    <r>
      <rPr>
        <b/>
        <sz val="10"/>
        <color theme="1"/>
        <rFont val="Calibri"/>
        <family val="2"/>
        <scheme val="minor"/>
      </rPr>
      <t>Variable - hourly.</t>
    </r>
    <r>
      <rPr>
        <sz val="10"/>
        <color theme="1"/>
        <rFont val="Calibri"/>
        <family val="2"/>
        <scheme val="minor"/>
      </rPr>
      <t xml:space="preserve">  Need to see existing pharmacy manual draft and how much is left to fill in.  Typically between 2h (for 1-2 pages) to 4h.</t>
    </r>
  </si>
  <si>
    <r>
      <rPr>
        <b/>
        <sz val="10"/>
        <color theme="1"/>
        <rFont val="Calibri"/>
        <family val="2"/>
        <scheme val="minor"/>
      </rPr>
      <t>Yes or No</t>
    </r>
    <r>
      <rPr>
        <sz val="10"/>
        <color theme="1"/>
        <rFont val="Calibri"/>
        <family val="2"/>
        <scheme val="minor"/>
      </rPr>
      <t>.  The 24/7 requires separate inpatient staff procedures and staff training and setup, plus carrying protocol information when on-call</t>
    </r>
  </si>
  <si>
    <t>Enter # of other countries (not sites) involved.</t>
  </si>
  <si>
    <t>Enter actual # of sites IDS would be responsible for shipping to.</t>
  </si>
  <si>
    <t>Numerical value - total number of sites internal &amp; external.</t>
  </si>
  <si>
    <r>
      <t>Initiation &amp; Annual Maintenance</t>
    </r>
    <r>
      <rPr>
        <b/>
        <u/>
        <sz val="12"/>
        <color rgb="FFFF0000"/>
        <rFont val="Calibri"/>
        <family val="2"/>
        <scheme val="minor"/>
      </rPr>
      <t xml:space="preserve"> (Please complete all questions below. Be sure to scroll all the way to the bottom.)</t>
    </r>
  </si>
  <si>
    <t>Complexity Score</t>
  </si>
  <si>
    <t>Total # of agents - Placebo or different medication strengths should be counted separately</t>
  </si>
  <si>
    <t>Does sponsor require 'IVRS' training , 'GCP training' or any other sponsor-specific training before study launch?</t>
  </si>
  <si>
    <r>
      <t>Routine</t>
    </r>
    <r>
      <rPr>
        <sz val="10"/>
        <color theme="1"/>
        <rFont val="Calibri"/>
        <family val="2"/>
        <scheme val="minor"/>
      </rPr>
      <t xml:space="preserve"> - quarterly visits(or 4 per year), </t>
    </r>
    <r>
      <rPr>
        <b/>
        <sz val="10"/>
        <color theme="1"/>
        <rFont val="Calibri"/>
        <family val="2"/>
        <scheme val="minor"/>
      </rPr>
      <t>Minimal</t>
    </r>
    <r>
      <rPr>
        <sz val="10"/>
        <color theme="1"/>
        <rFont val="Calibri"/>
        <family val="2"/>
        <scheme val="minor"/>
      </rPr>
      <t xml:space="preserve"> - frequency less than quarterly, </t>
    </r>
    <r>
      <rPr>
        <b/>
        <sz val="10"/>
        <color theme="1"/>
        <rFont val="Calibri"/>
        <family val="2"/>
        <scheme val="minor"/>
      </rPr>
      <t>Intensive</t>
    </r>
    <r>
      <rPr>
        <sz val="10"/>
        <color theme="1"/>
        <rFont val="Calibri"/>
        <family val="2"/>
        <scheme val="minor"/>
      </rPr>
      <t xml:space="preserve"> - frequency more than quarterly</t>
    </r>
  </si>
  <si>
    <t>Monitor visits frequency?</t>
  </si>
  <si>
    <t>Dispense Complexity</t>
  </si>
  <si>
    <t>Sponsor Worksheets</t>
  </si>
  <si>
    <t>Dispense IVRS</t>
  </si>
  <si>
    <t>Accountability not supplied</t>
  </si>
  <si>
    <t>Please answer questions for each drug listed. You may skip any question that does not apply. Meds will pull from "Medications" tab.</t>
  </si>
  <si>
    <t>Other Services</t>
  </si>
  <si>
    <t>Fee Name</t>
  </si>
  <si>
    <t>EDC data entry (per event)</t>
  </si>
  <si>
    <t>Clinical/Administrative Service Fee</t>
  </si>
  <si>
    <t>Shipping cost</t>
  </si>
  <si>
    <t>Special Handling</t>
  </si>
  <si>
    <t>Setup of additional site</t>
  </si>
  <si>
    <t>Add to maintenace calculation</t>
  </si>
  <si>
    <t>Do you need a kit or package designed for bulk compounding (i.e. blister cards, boxed vials)*</t>
  </si>
  <si>
    <t>Move compounding questions</t>
  </si>
  <si>
    <t>get rid of it</t>
  </si>
  <si>
    <t>Stable Isotope Preparation (batch)</t>
  </si>
  <si>
    <t>Manufacture of gelatin capsules - specific amount of powder mixture inside a capsule; requires weight checks or manipulation.  Costs include materials and labor except for the drug itself.(minimum of 300)</t>
  </si>
  <si>
    <t>Capsule Manufacturing (per 30) -- Manual Fill - simple</t>
  </si>
  <si>
    <t>Capsules individually filled via manual process (minimum 30)</t>
  </si>
  <si>
    <t>Capsule Manufacturing (per 30) -- Manual Fill - complex</t>
  </si>
  <si>
    <t>Capsules individually filled via manual process; requires weight checks (minimum 30)</t>
  </si>
  <si>
    <t>Packaging of study drug bottles/blister cards/etc. into kits. Additional supply cost may apply.</t>
  </si>
  <si>
    <t>Solutions, suspensions, ointments, powder packaging. Additional supply cost may apply.</t>
  </si>
  <si>
    <t>Manufacture of gelatin capsules - simple powder fill  inside an opaque shell.  Costs include materials and labor except for the drug itself. (per 300 minimum)</t>
  </si>
  <si>
    <t>Temp Controlled Shipping</t>
  </si>
  <si>
    <t>Controlled Substance</t>
  </si>
  <si>
    <t>Please list all supplies IDS would need to provide:</t>
  </si>
  <si>
    <t>Will Closed System Transfer Devices (CSTDs) be required?</t>
  </si>
  <si>
    <t>Will IDS need to compound or provide matching placebo?</t>
  </si>
  <si>
    <t>Preparation of stables isotopes per batch</t>
  </si>
  <si>
    <t>Initiation &amp; Maintenance</t>
  </si>
  <si>
    <t>Site Specific</t>
  </si>
  <si>
    <t>Complex IP</t>
  </si>
  <si>
    <t>Early Phase</t>
  </si>
  <si>
    <t>Additional Doc</t>
  </si>
  <si>
    <t>Dispense Comp</t>
  </si>
  <si>
    <t>Please complete each section in column D. Refer to the instructions in column E for each section. All sections are</t>
  </si>
  <si>
    <t>How many agents will IDS be responsible for storing and/or dispensing?</t>
  </si>
  <si>
    <t>Liquid nitrogen or less than minus 160 degrees Celsius storage?</t>
  </si>
  <si>
    <r>
      <t xml:space="preserve">If Yes to dilution/reconstitutions, how many required? </t>
    </r>
    <r>
      <rPr>
        <i/>
        <sz val="9"/>
        <color theme="1"/>
        <rFont val="Calibri"/>
        <family val="2"/>
        <scheme val="minor"/>
      </rPr>
      <t>(Note: When multiple vials are used each vial requiring dilution/reconstitution counts as 1)</t>
    </r>
  </si>
  <si>
    <t>Bulk Sterile Packaging (per 10 vials)</t>
  </si>
  <si>
    <t>Sterile preparation of bulk drug products for distribution to another site (per minimum 10)</t>
  </si>
  <si>
    <t>Non-Sterile Preparation</t>
  </si>
  <si>
    <t>Preparation of products under non-sterile conditions</t>
  </si>
  <si>
    <t>Blister Card - simple (each)</t>
  </si>
  <si>
    <t>Blister Card - complex (each)</t>
  </si>
  <si>
    <t>Repackaging of capsules or tablets into blister cards(30 or less capsules/tablets). Additional supply cost may apply.</t>
  </si>
  <si>
    <t>Repackaging of capsules or tablets into blister cards(more than 30 capsules/tablets). Additional supply cost may apply.</t>
  </si>
  <si>
    <t>Capsule/Tablet Bottle Packaging - simple (Per Bottle)</t>
  </si>
  <si>
    <t>Capsule/Tablet Bottle Packaging - complex (Per Bottle)</t>
  </si>
  <si>
    <t>Packaging of study drug capsules/tablets into bottle/containers(30 or less capsules/tablets). Additional supply cost may apply.</t>
  </si>
  <si>
    <t>Packaging of study drug capsules/tablets into bottle/containers(more than 30 capsules/tablets). Additional supply cost may apply.</t>
  </si>
  <si>
    <t>Capsules precision-weighed on Mettler Quantos (per 250)</t>
  </si>
  <si>
    <t>Capsules individually weighed to within under 1mg accuracy (per 250 minimum). Does not include cost of dosing head</t>
  </si>
  <si>
    <t>Summary Data</t>
  </si>
  <si>
    <t>IRB # or IACUC #</t>
  </si>
  <si>
    <t># of years IDS will be involved in study:</t>
  </si>
  <si>
    <t>Cover Sheet &amp; Medications</t>
  </si>
  <si>
    <t>Please complete all sections.</t>
  </si>
  <si>
    <t>Please complete all questions for each medications listed. Meds are pulled from the "Cover Sheet &amp; Medications" tab.</t>
  </si>
  <si>
    <t>Anything shaded in green needs to be changed on "Dispensing" tab</t>
  </si>
  <si>
    <r>
      <t xml:space="preserve"> If you have any questions concerning anything, please contact </t>
    </r>
    <r>
      <rPr>
        <b/>
        <u/>
        <sz val="11"/>
        <color theme="4" tint="-0.249977111117893"/>
        <rFont val="Calibri"/>
        <family val="2"/>
        <scheme val="minor"/>
      </rPr>
      <t>IDSBilling@pennmedicine.upenn.edu</t>
    </r>
    <r>
      <rPr>
        <b/>
        <sz val="11"/>
        <color theme="1"/>
        <rFont val="Calibri"/>
        <family val="2"/>
        <scheme val="minor"/>
      </rPr>
      <t>.</t>
    </r>
  </si>
  <si>
    <t>(Ver16 Aug2025)</t>
  </si>
  <si>
    <t>Please complete the 4 tabs(Cover Sheet &amp; Medications, Initiation &amp; Maintenance, Dispensing &amp; Manufacturing).</t>
  </si>
  <si>
    <r>
      <rPr>
        <b/>
        <sz val="10"/>
        <color theme="1"/>
        <rFont val="Calibri"/>
        <family val="2"/>
        <scheme val="minor"/>
      </rPr>
      <t>1</t>
    </r>
    <r>
      <rPr>
        <sz val="10"/>
        <color theme="1"/>
        <rFont val="Calibri"/>
        <family val="2"/>
        <scheme val="minor"/>
      </rPr>
      <t xml:space="preserve"> = PI-initiated simple open-label single agent no manipulation
</t>
    </r>
    <r>
      <rPr>
        <b/>
        <sz val="10"/>
        <color theme="1"/>
        <rFont val="Calibri"/>
        <family val="2"/>
        <scheme val="minor"/>
      </rPr>
      <t>2</t>
    </r>
    <r>
      <rPr>
        <sz val="10"/>
        <color theme="1"/>
        <rFont val="Calibri"/>
        <family val="2"/>
        <scheme val="minor"/>
      </rPr>
      <t xml:space="preserve"> = 1-2 agents with little to no preparation involved 
</t>
    </r>
    <r>
      <rPr>
        <b/>
        <sz val="10"/>
        <color theme="1"/>
        <rFont val="Calibri"/>
        <family val="2"/>
        <scheme val="minor"/>
      </rPr>
      <t>3</t>
    </r>
    <r>
      <rPr>
        <sz val="10"/>
        <color theme="1"/>
        <rFont val="Calibri"/>
        <family val="2"/>
        <scheme val="minor"/>
      </rPr>
      <t xml:space="preserve"> = More than 2 agents or sterile preparation needed
</t>
    </r>
    <r>
      <rPr>
        <b/>
        <sz val="10"/>
        <color theme="1"/>
        <rFont val="Calibri"/>
        <family val="2"/>
        <scheme val="minor"/>
      </rPr>
      <t>4</t>
    </r>
    <r>
      <rPr>
        <sz val="10"/>
        <color theme="1"/>
        <rFont val="Calibri"/>
        <family val="2"/>
        <scheme val="minor"/>
      </rPr>
      <t xml:space="preserve"> = Multiple agents, complex preparation, logistical questions
</t>
    </r>
    <r>
      <rPr>
        <b/>
        <sz val="10"/>
        <color theme="1"/>
        <rFont val="Calibri"/>
        <family val="2"/>
        <scheme val="minor"/>
      </rPr>
      <t>5</t>
    </r>
    <r>
      <rPr>
        <sz val="10"/>
        <color theme="1"/>
        <rFont val="Calibri"/>
        <family val="2"/>
        <scheme val="minor"/>
      </rPr>
      <t xml:space="preserve"> = Requires input to protocol design/language, CMC,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</si>
</sst>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
  </numFmts>
  <fonts count="67"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1"/>
      <color theme="1"/>
      <name val="Constantia"/>
      <family val="1"/>
    </font>
    <font>
      <sz val="10"/>
      <color theme="1"/>
      <name val="Constantia"/>
      <family val="1"/>
    </font>
    <font>
      <sz val="10"/>
      <color rgb="FFFF0000"/>
      <name val="Constantia"/>
      <family val="1"/>
    </font>
    <font>
      <sz val="11"/>
      <name val="Calibri"/>
      <family val="2"/>
      <scheme val="minor"/>
    </font>
    <font>
      <u/>
      <sz val="11"/>
      <color theme="10"/>
      <name val="Calibri"/>
      <family val="2"/>
      <scheme val="minor"/>
    </font>
    <font>
      <b/>
      <sz val="12"/>
      <color theme="1"/>
      <name val="Calibri"/>
      <family val="2"/>
      <scheme val="minor"/>
    </font>
    <font>
      <b/>
      <sz val="14"/>
      <color theme="1"/>
      <name val="Calibri"/>
      <family val="2"/>
      <scheme val="minor"/>
    </font>
    <font>
      <sz val="11"/>
      <color theme="10"/>
      <name val="Calibri"/>
      <family val="2"/>
      <scheme val="minor"/>
    </font>
    <font>
      <sz val="10"/>
      <color theme="1"/>
      <name val="Calibri"/>
      <family val="2"/>
      <scheme val="minor"/>
    </font>
    <font>
      <sz val="9"/>
      <color theme="1"/>
      <name val="Calibri"/>
      <family val="2"/>
      <scheme val="minor"/>
    </font>
    <font>
      <b/>
      <sz val="14"/>
      <name val="Calibri"/>
      <family val="2"/>
      <scheme val="minor"/>
    </font>
    <font>
      <b/>
      <sz val="11"/>
      <name val="Calibri"/>
      <family val="2"/>
      <scheme val="minor"/>
    </font>
    <font>
      <sz val="14"/>
      <name val="Calibri"/>
      <family val="2"/>
      <scheme val="minor"/>
    </font>
    <font>
      <b/>
      <sz val="12"/>
      <name val="Calibri"/>
      <family val="2"/>
      <scheme val="minor"/>
    </font>
    <font>
      <sz val="12"/>
      <name val="Calibri"/>
      <family val="2"/>
      <scheme val="minor"/>
    </font>
    <font>
      <b/>
      <i/>
      <sz val="12"/>
      <name val="Calibri"/>
      <family val="2"/>
      <scheme val="minor"/>
    </font>
    <font>
      <b/>
      <sz val="16"/>
      <name val="Calibri"/>
      <family val="2"/>
      <scheme val="minor"/>
    </font>
    <font>
      <b/>
      <sz val="9"/>
      <color theme="1"/>
      <name val="Calibri"/>
      <family val="2"/>
      <scheme val="minor"/>
    </font>
    <font>
      <b/>
      <sz val="11"/>
      <color rgb="FFFF0000"/>
      <name val="Calibri"/>
      <family val="2"/>
      <scheme val="minor"/>
    </font>
    <font>
      <sz val="12"/>
      <color theme="1"/>
      <name val="Calibri"/>
      <family val="2"/>
      <scheme val="minor"/>
    </font>
    <font>
      <b/>
      <u/>
      <sz val="14"/>
      <color theme="1"/>
      <name val="Calibri"/>
      <family val="2"/>
      <scheme val="minor"/>
    </font>
    <font>
      <b/>
      <sz val="10"/>
      <color theme="1"/>
      <name val="Calibri"/>
      <family val="2"/>
      <scheme val="minor"/>
    </font>
    <font>
      <b/>
      <i/>
      <sz val="11"/>
      <color rgb="FFFF0000"/>
      <name val="Calibri"/>
      <family val="2"/>
      <scheme val="minor"/>
    </font>
    <font>
      <i/>
      <sz val="11"/>
      <color rgb="FFFF0000"/>
      <name val="Calibri"/>
      <family val="2"/>
      <scheme val="minor"/>
    </font>
    <font>
      <b/>
      <sz val="11"/>
      <color theme="5" tint="-0.499984740745262"/>
      <name val="Calibri"/>
      <family val="2"/>
      <scheme val="minor"/>
    </font>
    <font>
      <b/>
      <u/>
      <sz val="12"/>
      <color theme="5" tint="-0.499984740745262"/>
      <name val="Calibri"/>
      <family val="2"/>
      <scheme val="minor"/>
    </font>
    <font>
      <b/>
      <i/>
      <u/>
      <sz val="10"/>
      <color theme="1"/>
      <name val="Calibri"/>
      <family val="2"/>
      <scheme val="minor"/>
    </font>
    <font>
      <b/>
      <i/>
      <sz val="9"/>
      <color rgb="FFFF0000"/>
      <name val="Calibri"/>
      <family val="2"/>
      <scheme val="minor"/>
    </font>
    <font>
      <b/>
      <i/>
      <u/>
      <sz val="10"/>
      <color rgb="FFFF0000"/>
      <name val="Calibri"/>
      <family val="2"/>
      <scheme val="minor"/>
    </font>
    <font>
      <b/>
      <u/>
      <sz val="14"/>
      <name val="Calibri"/>
      <family val="2"/>
      <scheme val="minor"/>
    </font>
    <font>
      <u/>
      <sz val="11"/>
      <color theme="1"/>
      <name val="Calibri"/>
      <family val="2"/>
      <scheme val="minor"/>
    </font>
    <font>
      <b/>
      <i/>
      <sz val="11"/>
      <color theme="1"/>
      <name val="Calibri"/>
      <family val="2"/>
      <scheme val="minor"/>
    </font>
    <font>
      <b/>
      <u/>
      <sz val="11"/>
      <color theme="4" tint="-0.249977111117893"/>
      <name val="Calibri"/>
      <family val="2"/>
      <scheme val="minor"/>
    </font>
    <font>
      <b/>
      <i/>
      <u/>
      <sz val="11"/>
      <color theme="1"/>
      <name val="Calibri"/>
      <family val="2"/>
      <scheme val="minor"/>
    </font>
    <font>
      <b/>
      <sz val="8"/>
      <color theme="1"/>
      <name val="Calibri"/>
      <family val="2"/>
      <scheme val="minor"/>
    </font>
    <font>
      <b/>
      <i/>
      <sz val="18"/>
      <color theme="1"/>
      <name val="Arial"/>
      <family val="2"/>
    </font>
    <font>
      <sz val="11"/>
      <color theme="1"/>
      <name val="Arial"/>
      <family val="2"/>
    </font>
    <font>
      <b/>
      <i/>
      <sz val="10"/>
      <color rgb="FFFF0000"/>
      <name val="Calibri"/>
      <family val="2"/>
      <scheme val="minor"/>
    </font>
    <font>
      <sz val="11"/>
      <color theme="0"/>
      <name val="Calibri"/>
      <family val="2"/>
      <scheme val="minor"/>
    </font>
    <font>
      <sz val="9"/>
      <name val="Calibri"/>
      <family val="2"/>
      <scheme val="minor"/>
    </font>
    <font>
      <b/>
      <i/>
      <sz val="12"/>
      <color rgb="FFFF0000"/>
      <name val="Calibri"/>
      <family val="2"/>
      <scheme val="minor"/>
    </font>
    <font>
      <b/>
      <i/>
      <sz val="10"/>
      <color theme="1"/>
      <name val="Calibri"/>
      <family val="2"/>
      <scheme val="minor"/>
    </font>
    <font>
      <sz val="11"/>
      <color theme="0" tint="-4.9989318521683403E-2"/>
      <name val="Calibri"/>
      <family val="2"/>
      <scheme val="minor"/>
    </font>
    <font>
      <b/>
      <i/>
      <sz val="8.5"/>
      <color rgb="FFFF0000"/>
      <name val="Calibri"/>
      <family val="2"/>
      <scheme val="minor"/>
    </font>
    <font>
      <b/>
      <i/>
      <sz val="9"/>
      <color theme="1"/>
      <name val="Calibri"/>
      <family val="2"/>
      <scheme val="minor"/>
    </font>
    <font>
      <b/>
      <sz val="10.5"/>
      <color theme="1"/>
      <name val="Calibri"/>
      <family val="2"/>
      <scheme val="minor"/>
    </font>
    <font>
      <sz val="10.5"/>
      <color theme="1"/>
      <name val="Calibri"/>
      <family val="2"/>
      <scheme val="minor"/>
    </font>
    <font>
      <sz val="8"/>
      <name val="Calibri"/>
      <family val="2"/>
      <scheme val="minor"/>
    </font>
    <font>
      <b/>
      <i/>
      <sz val="9.5"/>
      <color theme="1"/>
      <name val="Calibri"/>
      <family val="2"/>
      <scheme val="minor"/>
    </font>
    <font>
      <b/>
      <sz val="9.5"/>
      <color theme="1"/>
      <name val="Calibri"/>
      <family val="2"/>
      <scheme val="minor"/>
    </font>
    <font>
      <b/>
      <sz val="10"/>
      <color theme="1"/>
      <name val="Constantia"/>
      <family val="1"/>
    </font>
    <font>
      <vertAlign val="superscript"/>
      <sz val="10"/>
      <color theme="1"/>
      <name val="Calibri"/>
      <family val="2"/>
      <scheme val="minor"/>
    </font>
    <font>
      <b/>
      <sz val="9.5"/>
      <color theme="1"/>
      <name val="Constantia"/>
      <family val="1"/>
    </font>
    <font>
      <i/>
      <sz val="12"/>
      <color theme="1"/>
      <name val="Calibri"/>
      <family val="2"/>
      <scheme val="minor"/>
    </font>
    <font>
      <sz val="10"/>
      <name val="Calibri"/>
      <family val="2"/>
      <scheme val="minor"/>
    </font>
    <font>
      <b/>
      <sz val="10"/>
      <name val="Calibri"/>
      <family val="2"/>
      <scheme val="minor"/>
    </font>
    <font>
      <b/>
      <u/>
      <sz val="12"/>
      <color theme="1"/>
      <name val="Calibri"/>
      <family val="2"/>
      <scheme val="minor"/>
    </font>
    <font>
      <b/>
      <u/>
      <sz val="12"/>
      <color rgb="FFFF0000"/>
      <name val="Calibri"/>
      <family val="2"/>
      <scheme val="minor"/>
    </font>
    <font>
      <b/>
      <u/>
      <sz val="11"/>
      <color theme="1"/>
      <name val="Calibri"/>
      <family val="2"/>
      <scheme val="minor"/>
    </font>
    <font>
      <sz val="11"/>
      <color rgb="FFFF0000"/>
      <name val="Calibri"/>
      <family val="2"/>
      <scheme val="minor"/>
    </font>
    <font>
      <i/>
      <sz val="9"/>
      <color theme="1"/>
      <name val="Calibri"/>
      <family val="2"/>
      <scheme val="minor"/>
    </font>
    <font>
      <u/>
      <sz val="14"/>
      <color theme="1"/>
      <name val="Calibri"/>
      <family val="2"/>
      <scheme val="minor"/>
    </font>
    <font>
      <sz val="9"/>
      <color theme="9"/>
      <name val="Calibri"/>
      <family val="2"/>
      <scheme val="minor"/>
    </font>
  </fonts>
  <fills count="26">
    <fill>
      <patternFill patternType="none"/>
    </fill>
    <fill>
      <patternFill patternType="gray125"/>
    </fill>
    <fill>
      <patternFill patternType="solid">
        <fgColor rgb="FFF2F2F2"/>
      </patternFill>
    </fill>
    <fill>
      <patternFill patternType="solid">
        <fgColor rgb="FFF2F2F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92D050"/>
        <bgColor indexed="64"/>
      </patternFill>
    </fill>
    <fill>
      <patternFill patternType="solid">
        <fgColor rgb="FFFF7C8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FF9999"/>
        <bgColor indexed="64"/>
      </patternFill>
    </fill>
  </fills>
  <borders count="64">
    <border>
      <left/>
      <right/>
      <top/>
      <bottom/>
      <diagonal/>
    </border>
    <border>
      <left style="thin">
        <color rgb="FF3F3F3F"/>
      </left>
      <right style="thin">
        <color rgb="FF3F3F3F"/>
      </right>
      <top style="thin">
        <color rgb="FF3F3F3F"/>
      </top>
      <bottom style="thin">
        <color rgb="FF3F3F3F"/>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rgb="FF3F3F3F"/>
      </left>
      <right style="thin">
        <color rgb="FF3F3F3F"/>
      </right>
      <top style="thin">
        <color rgb="FF3F3F3F"/>
      </top>
      <bottom/>
      <diagonal/>
    </border>
    <border>
      <left style="thin">
        <color rgb="FF3F3F3F"/>
      </left>
      <right style="thin">
        <color rgb="FF3F3F3F"/>
      </right>
      <top/>
      <bottom/>
      <diagonal/>
    </border>
    <border>
      <left style="thin">
        <color rgb="FF3F3F3F"/>
      </left>
      <right style="thin">
        <color rgb="FF3F3F3F"/>
      </right>
      <top/>
      <bottom style="thin">
        <color rgb="FF3F3F3F"/>
      </bottom>
      <diagonal/>
    </border>
    <border>
      <left style="thin">
        <color rgb="FF3F3F3F"/>
      </left>
      <right/>
      <top/>
      <bottom style="thin">
        <color indexed="64"/>
      </bottom>
      <diagonal/>
    </border>
    <border>
      <left style="thin">
        <color rgb="FF3F3F3F"/>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thin">
        <color rgb="FF3F3F3F"/>
      </left>
      <right/>
      <top style="thin">
        <color indexed="64"/>
      </top>
      <bottom style="medium">
        <color indexed="64"/>
      </bottom>
      <diagonal/>
    </border>
    <border>
      <left style="thin">
        <color rgb="FF3F3F3F"/>
      </left>
      <right style="thin">
        <color rgb="FF3F3F3F"/>
      </right>
      <top style="thin">
        <color indexed="64"/>
      </top>
      <bottom style="medium">
        <color indexed="64"/>
      </bottom>
      <diagonal/>
    </border>
    <border>
      <left style="thin">
        <color rgb="FF3F3F3F"/>
      </left>
      <right/>
      <top/>
      <bottom/>
      <diagonal/>
    </border>
    <border>
      <left style="thin">
        <color rgb="FF3F3F3F"/>
      </left>
      <right style="thin">
        <color rgb="FF3F3F3F"/>
      </right>
      <top style="medium">
        <color indexed="64"/>
      </top>
      <bottom/>
      <diagonal/>
    </border>
    <border>
      <left style="medium">
        <color theme="0"/>
      </left>
      <right/>
      <top style="medium">
        <color theme="0"/>
      </top>
      <bottom style="medium">
        <color theme="0"/>
      </bottom>
      <diagonal/>
    </border>
    <border>
      <left/>
      <right style="medium">
        <color theme="0"/>
      </right>
      <top style="medium">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indexed="64"/>
      </top>
      <bottom/>
      <diagonal/>
    </border>
    <border>
      <left style="thin">
        <color theme="0"/>
      </left>
      <right style="thin">
        <color indexed="64"/>
      </right>
      <top/>
      <bottom style="thin">
        <color indexed="64"/>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thin">
        <color rgb="FF3F3F3F"/>
      </left>
      <right/>
      <top style="thin">
        <color rgb="FF3F3F3F"/>
      </top>
      <bottom style="thin">
        <color rgb="FF3F3F3F"/>
      </bottom>
      <diagonal/>
    </border>
    <border>
      <left style="thin">
        <color rgb="FF3F3F3F"/>
      </left>
      <right/>
      <top style="thin">
        <color indexed="64"/>
      </top>
      <bottom/>
      <diagonal/>
    </border>
    <border>
      <left style="thin">
        <color rgb="FF3F3F3F"/>
      </left>
      <right/>
      <top style="thin">
        <color rgb="FF3F3F3F"/>
      </top>
      <bottom/>
      <diagonal/>
    </border>
    <border>
      <left style="thin">
        <color rgb="FF3F3F3F"/>
      </left>
      <right style="thin">
        <color indexed="64"/>
      </right>
      <top style="thin">
        <color rgb="FF3F3F3F"/>
      </top>
      <bottom style="thin">
        <color indexed="64"/>
      </bottom>
      <diagonal/>
    </border>
    <border>
      <left style="thin">
        <color rgb="FF3F3F3F"/>
      </left>
      <right style="thin">
        <color rgb="FF3F3F3F"/>
      </right>
      <top style="thin">
        <color rgb="FF3F3F3F"/>
      </top>
      <bottom style="thin">
        <color indexed="64"/>
      </bottom>
      <diagonal/>
    </border>
    <border>
      <left style="medium">
        <color theme="0"/>
      </left>
      <right/>
      <top/>
      <bottom style="medium">
        <color theme="0"/>
      </bottom>
      <diagonal/>
    </border>
    <border>
      <left/>
      <right style="medium">
        <color theme="0"/>
      </right>
      <top/>
      <bottom style="medium">
        <color theme="0"/>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theme="0"/>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n">
        <color theme="0"/>
      </right>
      <top/>
      <bottom/>
      <diagonal/>
    </border>
    <border>
      <left style="thin">
        <color theme="0"/>
      </left>
      <right/>
      <top style="thin">
        <color theme="0"/>
      </top>
      <bottom style="thin">
        <color theme="0"/>
      </bottom>
      <diagonal/>
    </border>
    <border>
      <left/>
      <right/>
      <top style="thin">
        <color indexed="64"/>
      </top>
      <bottom style="thin">
        <color theme="0"/>
      </bottom>
      <diagonal/>
    </border>
    <border>
      <left/>
      <right/>
      <top style="thin">
        <color theme="0"/>
      </top>
      <bottom style="thin">
        <color theme="0"/>
      </bottom>
      <diagonal/>
    </border>
    <border>
      <left/>
      <right/>
      <top style="thin">
        <color theme="0"/>
      </top>
      <bottom/>
      <diagonal/>
    </border>
    <border>
      <left style="thin">
        <color theme="0"/>
      </left>
      <right/>
      <top/>
      <bottom/>
      <diagonal/>
    </border>
  </borders>
  <cellStyleXfs count="4">
    <xf numFmtId="0" fontId="0" fillId="0" borderId="0"/>
    <xf numFmtId="44" fontId="1" fillId="0" borderId="0" applyFont="0" applyFill="0" applyBorder="0" applyAlignment="0" applyProtection="0"/>
    <xf numFmtId="0" fontId="2" fillId="2" borderId="1" applyNumberFormat="0" applyAlignment="0" applyProtection="0"/>
    <xf numFmtId="0" fontId="8" fillId="0" borderId="0" applyNumberFormat="0" applyFill="0" applyBorder="0" applyAlignment="0" applyProtection="0"/>
  </cellStyleXfs>
  <cellXfs count="702">
    <xf numFmtId="0" fontId="0" fillId="0" borderId="0" xfId="0"/>
    <xf numFmtId="0" fontId="0" fillId="0" borderId="0" xfId="0" applyAlignment="1">
      <alignment vertical="center" wrapText="1"/>
    </xf>
    <xf numFmtId="0" fontId="0" fillId="0" borderId="0" xfId="0" applyAlignment="1">
      <alignment horizontal="center" vertical="center"/>
    </xf>
    <xf numFmtId="0" fontId="0" fillId="9" borderId="0" xfId="0" applyFill="1"/>
    <xf numFmtId="0" fontId="8" fillId="9" borderId="0" xfId="3" applyFill="1" applyAlignment="1">
      <alignment vertical="top"/>
    </xf>
    <xf numFmtId="0" fontId="0" fillId="9" borderId="0" xfId="0" applyFill="1" applyAlignment="1">
      <alignment vertical="top"/>
    </xf>
    <xf numFmtId="0" fontId="0" fillId="0" borderId="0" xfId="0" applyFill="1"/>
    <xf numFmtId="0" fontId="0" fillId="0" borderId="0" xfId="0" applyAlignment="1">
      <alignment vertical="center"/>
    </xf>
    <xf numFmtId="0" fontId="0" fillId="0" borderId="0" xfId="0" applyAlignment="1">
      <alignment horizontal="center"/>
    </xf>
    <xf numFmtId="0" fontId="0" fillId="6" borderId="0" xfId="0" applyFill="1"/>
    <xf numFmtId="0" fontId="3" fillId="0" borderId="0" xfId="0" applyFont="1" applyAlignment="1">
      <alignment horizontal="center"/>
    </xf>
    <xf numFmtId="0" fontId="0" fillId="0" borderId="0" xfId="0" applyBorder="1"/>
    <xf numFmtId="0" fontId="7" fillId="0" borderId="0" xfId="0" applyFont="1"/>
    <xf numFmtId="0" fontId="7" fillId="0" borderId="0" xfId="0" applyFont="1" applyAlignment="1">
      <alignment wrapText="1"/>
    </xf>
    <xf numFmtId="44" fontId="7" fillId="0" borderId="0" xfId="1" applyFont="1" applyAlignment="1">
      <alignment horizontal="center"/>
    </xf>
    <xf numFmtId="0" fontId="7" fillId="4" borderId="0" xfId="0" applyFont="1" applyFill="1" applyAlignment="1">
      <alignment wrapText="1"/>
    </xf>
    <xf numFmtId="0" fontId="17" fillId="11" borderId="0" xfId="0" applyFont="1" applyFill="1" applyAlignment="1">
      <alignment wrapText="1"/>
    </xf>
    <xf numFmtId="44" fontId="18" fillId="0" borderId="0" xfId="1" applyFont="1" applyAlignment="1">
      <alignment horizontal="center"/>
    </xf>
    <xf numFmtId="0" fontId="18" fillId="0" borderId="0" xfId="0" applyFont="1" applyAlignment="1">
      <alignment wrapText="1"/>
    </xf>
    <xf numFmtId="0" fontId="19" fillId="11" borderId="0" xfId="0" applyFont="1" applyFill="1" applyAlignment="1">
      <alignment wrapText="1"/>
    </xf>
    <xf numFmtId="44" fontId="20" fillId="5" borderId="0" xfId="1" applyFont="1" applyFill="1" applyBorder="1" applyAlignment="1">
      <alignment horizontal="center" wrapText="1"/>
    </xf>
    <xf numFmtId="0" fontId="7" fillId="0" borderId="0" xfId="0" applyFont="1" applyAlignment="1">
      <alignment horizontal="center"/>
    </xf>
    <xf numFmtId="0" fontId="17" fillId="11" borderId="0" xfId="0" applyFont="1" applyFill="1" applyAlignment="1">
      <alignment horizontal="center"/>
    </xf>
    <xf numFmtId="44" fontId="17" fillId="11" borderId="0" xfId="1" applyFont="1" applyFill="1" applyAlignment="1">
      <alignment horizontal="center"/>
    </xf>
    <xf numFmtId="0" fontId="0" fillId="0" borderId="0" xfId="0" applyAlignment="1">
      <alignment wrapText="1"/>
    </xf>
    <xf numFmtId="44" fontId="0" fillId="0" borderId="0" xfId="0" applyNumberFormat="1"/>
    <xf numFmtId="0" fontId="0" fillId="0" borderId="0" xfId="0" applyAlignment="1">
      <alignment horizontal="center" wrapText="1"/>
    </xf>
    <xf numFmtId="0" fontId="0" fillId="0" borderId="0" xfId="0" applyAlignment="1">
      <alignment horizontal="center" vertical="center" wrapText="1"/>
    </xf>
    <xf numFmtId="0" fontId="0" fillId="10" borderId="0" xfId="0" applyFill="1"/>
    <xf numFmtId="0" fontId="0" fillId="10" borderId="0" xfId="0" applyFill="1" applyAlignment="1">
      <alignment wrapText="1"/>
    </xf>
    <xf numFmtId="0" fontId="0" fillId="10" borderId="0" xfId="0" applyFill="1" applyAlignment="1">
      <alignment horizontal="center" vertical="center"/>
    </xf>
    <xf numFmtId="0" fontId="3" fillId="0" borderId="0" xfId="0" applyFont="1" applyAlignment="1">
      <alignment horizontal="center" vertical="center" wrapText="1"/>
    </xf>
    <xf numFmtId="44" fontId="0" fillId="0" borderId="0" xfId="1" applyFont="1" applyAlignment="1">
      <alignment horizontal="center" vertical="center"/>
    </xf>
    <xf numFmtId="0" fontId="0" fillId="0" borderId="23" xfId="0" applyBorder="1" applyAlignment="1">
      <alignment horizontal="center"/>
    </xf>
    <xf numFmtId="0" fontId="3" fillId="0" borderId="0" xfId="0" applyFont="1" applyFill="1" applyAlignment="1">
      <alignment horizontal="center" wrapText="1"/>
    </xf>
    <xf numFmtId="0" fontId="0" fillId="0" borderId="16" xfId="0" applyBorder="1" applyAlignment="1">
      <alignment horizontal="center"/>
    </xf>
    <xf numFmtId="0" fontId="0" fillId="0" borderId="0" xfId="0" applyFill="1" applyAlignment="1">
      <alignment wrapText="1"/>
    </xf>
    <xf numFmtId="0" fontId="0" fillId="0" borderId="0" xfId="0" applyFill="1" applyAlignment="1">
      <alignment horizontal="center" vertical="center"/>
    </xf>
    <xf numFmtId="44" fontId="0" fillId="0" borderId="0" xfId="1" applyFont="1" applyFill="1"/>
    <xf numFmtId="0" fontId="0" fillId="0" borderId="0" xfId="0" applyAlignment="1">
      <alignment horizontal="center"/>
    </xf>
    <xf numFmtId="0" fontId="0" fillId="9" borderId="0" xfId="0" applyFill="1" applyAlignment="1">
      <alignment horizontal="center" vertical="center"/>
    </xf>
    <xf numFmtId="0" fontId="0" fillId="9" borderId="0" xfId="0" applyFill="1" applyAlignment="1">
      <alignment horizontal="center" vertical="center" wrapText="1"/>
    </xf>
    <xf numFmtId="0" fontId="0" fillId="9" borderId="29" xfId="0" applyFill="1" applyBorder="1" applyAlignment="1">
      <alignment horizontal="center" vertical="center" wrapText="1"/>
    </xf>
    <xf numFmtId="44" fontId="0" fillId="9" borderId="0" xfId="1" applyFont="1" applyFill="1"/>
    <xf numFmtId="0" fontId="28" fillId="7" borderId="5" xfId="0" applyFont="1" applyFill="1" applyBorder="1" applyAlignment="1">
      <alignment horizontal="center"/>
    </xf>
    <xf numFmtId="0" fontId="28" fillId="7" borderId="5" xfId="0" applyFont="1" applyFill="1" applyBorder="1" applyAlignment="1">
      <alignment horizontal="center" wrapText="1"/>
    </xf>
    <xf numFmtId="0" fontId="29" fillId="9" borderId="0" xfId="0" applyFont="1" applyFill="1" applyAlignment="1">
      <alignment horizontal="left"/>
    </xf>
    <xf numFmtId="0" fontId="29" fillId="9" borderId="0" xfId="0" applyFont="1" applyFill="1"/>
    <xf numFmtId="0" fontId="7" fillId="6" borderId="1" xfId="2" applyFont="1" applyFill="1" applyAlignment="1">
      <alignment wrapText="1"/>
    </xf>
    <xf numFmtId="0" fontId="7" fillId="6" borderId="1" xfId="2" applyFont="1" applyFill="1" applyAlignment="1"/>
    <xf numFmtId="0" fontId="7" fillId="6" borderId="0" xfId="0" applyFont="1" applyFill="1" applyAlignment="1">
      <alignment wrapText="1"/>
    </xf>
    <xf numFmtId="0" fontId="7" fillId="6" borderId="20" xfId="0" applyFont="1" applyFill="1" applyBorder="1" applyAlignment="1">
      <alignment wrapText="1"/>
    </xf>
    <xf numFmtId="0" fontId="7" fillId="6" borderId="21" xfId="0" applyFont="1" applyFill="1" applyBorder="1" applyAlignment="1">
      <alignment wrapText="1"/>
    </xf>
    <xf numFmtId="0" fontId="15" fillId="6" borderId="21" xfId="0" applyFont="1" applyFill="1" applyBorder="1" applyAlignment="1">
      <alignment wrapText="1"/>
    </xf>
    <xf numFmtId="0" fontId="15" fillId="6" borderId="20" xfId="0" applyFont="1" applyFill="1" applyBorder="1" applyAlignment="1">
      <alignment wrapText="1"/>
    </xf>
    <xf numFmtId="44" fontId="15" fillId="7" borderId="31" xfId="1" applyFont="1" applyFill="1" applyBorder="1" applyAlignment="1">
      <alignment horizontal="center"/>
    </xf>
    <xf numFmtId="0" fontId="7" fillId="9" borderId="0" xfId="0" applyFont="1" applyFill="1" applyAlignment="1">
      <alignment wrapText="1"/>
    </xf>
    <xf numFmtId="0" fontId="7" fillId="9" borderId="0" xfId="0" applyFont="1" applyFill="1" applyAlignment="1">
      <alignment horizontal="center"/>
    </xf>
    <xf numFmtId="44" fontId="7" fillId="9" borderId="0" xfId="1" applyFont="1" applyFill="1" applyAlignment="1">
      <alignment horizontal="center"/>
    </xf>
    <xf numFmtId="0" fontId="7" fillId="9" borderId="5" xfId="0" applyFont="1" applyFill="1" applyBorder="1" applyAlignment="1">
      <alignment wrapText="1"/>
    </xf>
    <xf numFmtId="0" fontId="9" fillId="7" borderId="31" xfId="2" applyFont="1" applyFill="1" applyBorder="1" applyAlignment="1">
      <alignment horizontal="center" wrapText="1"/>
    </xf>
    <xf numFmtId="0" fontId="9" fillId="7" borderId="30" xfId="0" applyFont="1" applyFill="1" applyBorder="1" applyAlignment="1">
      <alignment horizontal="center" wrapText="1"/>
    </xf>
    <xf numFmtId="0" fontId="3" fillId="14" borderId="3" xfId="0" applyFont="1" applyFill="1" applyBorder="1" applyAlignment="1">
      <alignment horizontal="center"/>
    </xf>
    <xf numFmtId="0" fontId="0" fillId="0" borderId="15" xfId="0" applyBorder="1" applyAlignment="1">
      <alignment horizontal="center"/>
    </xf>
    <xf numFmtId="44" fontId="3" fillId="0" borderId="0" xfId="0" applyNumberFormat="1" applyFont="1"/>
    <xf numFmtId="2" fontId="0" fillId="0" borderId="0" xfId="0" applyNumberFormat="1"/>
    <xf numFmtId="0" fontId="0" fillId="0" borderId="7" xfId="0" applyBorder="1"/>
    <xf numFmtId="2" fontId="0" fillId="0" borderId="7" xfId="0" applyNumberFormat="1" applyBorder="1"/>
    <xf numFmtId="0" fontId="0" fillId="0" borderId="7" xfId="0" applyBorder="1" applyAlignment="1">
      <alignment horizontal="center"/>
    </xf>
    <xf numFmtId="2" fontId="0" fillId="0" borderId="7" xfId="0" applyNumberFormat="1" applyBorder="1" applyAlignment="1">
      <alignment horizontal="center"/>
    </xf>
    <xf numFmtId="2" fontId="0" fillId="0" borderId="0" xfId="0" applyNumberFormat="1" applyAlignment="1">
      <alignment horizontal="center"/>
    </xf>
    <xf numFmtId="2" fontId="0" fillId="0" borderId="9" xfId="0" applyNumberFormat="1" applyBorder="1"/>
    <xf numFmtId="2" fontId="0" fillId="0" borderId="13" xfId="0" applyNumberFormat="1" applyBorder="1" applyAlignment="1">
      <alignment horizontal="center"/>
    </xf>
    <xf numFmtId="2" fontId="0" fillId="0" borderId="9" xfId="0" applyNumberFormat="1" applyBorder="1" applyAlignment="1">
      <alignment horizontal="center"/>
    </xf>
    <xf numFmtId="2" fontId="3" fillId="0" borderId="0" xfId="0" applyNumberFormat="1" applyFont="1" applyAlignment="1">
      <alignment horizontal="center"/>
    </xf>
    <xf numFmtId="2" fontId="0" fillId="0" borderId="13" xfId="0" applyNumberFormat="1" applyBorder="1"/>
    <xf numFmtId="0" fontId="21" fillId="7" borderId="13" xfId="0" applyFont="1" applyFill="1" applyBorder="1" applyAlignment="1">
      <alignment horizontal="center"/>
    </xf>
    <xf numFmtId="0" fontId="21" fillId="7" borderId="9" xfId="0" applyFont="1" applyFill="1" applyBorder="1" applyAlignment="1">
      <alignment horizontal="center"/>
    </xf>
    <xf numFmtId="0" fontId="3" fillId="7" borderId="3" xfId="0" applyFont="1" applyFill="1" applyBorder="1" applyAlignment="1">
      <alignment horizontal="center"/>
    </xf>
    <xf numFmtId="0" fontId="21" fillId="16" borderId="7" xfId="0" applyFont="1" applyFill="1" applyBorder="1" applyAlignment="1">
      <alignment horizontal="center" wrapText="1"/>
    </xf>
    <xf numFmtId="0" fontId="21" fillId="16" borderId="0" xfId="0" applyFont="1" applyFill="1" applyAlignment="1">
      <alignment horizontal="center" wrapText="1"/>
    </xf>
    <xf numFmtId="0" fontId="21" fillId="7" borderId="15" xfId="0" applyFont="1" applyFill="1" applyBorder="1" applyAlignment="1">
      <alignment horizontal="center"/>
    </xf>
    <xf numFmtId="2" fontId="0" fillId="7" borderId="23" xfId="0" applyNumberFormat="1" applyFill="1" applyBorder="1" applyAlignment="1">
      <alignment horizontal="center"/>
    </xf>
    <xf numFmtId="2" fontId="0" fillId="7" borderId="15" xfId="0" applyNumberFormat="1" applyFill="1" applyBorder="1" applyAlignment="1">
      <alignment horizontal="center"/>
    </xf>
    <xf numFmtId="2" fontId="3" fillId="7" borderId="23" xfId="0" applyNumberFormat="1" applyFont="1" applyFill="1" applyBorder="1" applyAlignment="1">
      <alignment horizontal="center"/>
    </xf>
    <xf numFmtId="2" fontId="3" fillId="7" borderId="15" xfId="0" applyNumberFormat="1" applyFont="1" applyFill="1" applyBorder="1" applyAlignment="1">
      <alignment horizontal="center"/>
    </xf>
    <xf numFmtId="0" fontId="21" fillId="12" borderId="13" xfId="0" applyFont="1" applyFill="1" applyBorder="1" applyAlignment="1">
      <alignment horizontal="center" wrapText="1"/>
    </xf>
    <xf numFmtId="0" fontId="26" fillId="7" borderId="31" xfId="2" applyFont="1" applyFill="1" applyBorder="1" applyAlignment="1">
      <alignment horizontal="center" wrapText="1"/>
    </xf>
    <xf numFmtId="0" fontId="0" fillId="0" borderId="0" xfId="0" applyAlignment="1">
      <alignment horizontal="center"/>
    </xf>
    <xf numFmtId="0" fontId="0" fillId="9" borderId="0" xfId="0" applyFill="1" applyAlignment="1">
      <alignment horizontal="center"/>
    </xf>
    <xf numFmtId="0" fontId="0" fillId="9" borderId="0" xfId="0" applyFill="1" applyAlignment="1">
      <alignment wrapText="1"/>
    </xf>
    <xf numFmtId="0" fontId="0" fillId="17" borderId="0" xfId="0" applyFill="1"/>
    <xf numFmtId="0" fontId="0" fillId="0" borderId="10" xfId="0" applyBorder="1"/>
    <xf numFmtId="0" fontId="0" fillId="0" borderId="8" xfId="0" applyBorder="1" applyAlignment="1">
      <alignment horizontal="center"/>
    </xf>
    <xf numFmtId="0" fontId="0" fillId="0" borderId="0" xfId="0" applyBorder="1" applyAlignment="1">
      <alignment horizontal="center"/>
    </xf>
    <xf numFmtId="0" fontId="0" fillId="0" borderId="13" xfId="0" applyBorder="1"/>
    <xf numFmtId="0" fontId="0" fillId="0" borderId="12" xfId="0" applyBorder="1"/>
    <xf numFmtId="0" fontId="3" fillId="0" borderId="0" xfId="0" applyFont="1" applyAlignment="1">
      <alignment vertical="center" wrapText="1"/>
    </xf>
    <xf numFmtId="44" fontId="3" fillId="0" borderId="0" xfId="0" applyNumberFormat="1" applyFont="1" applyAlignment="1">
      <alignment vertical="center"/>
    </xf>
    <xf numFmtId="0" fontId="0" fillId="0" borderId="0" xfId="0" applyFont="1" applyAlignment="1">
      <alignment horizontal="center" vertical="center"/>
    </xf>
    <xf numFmtId="0" fontId="0" fillId="0" borderId="0" xfId="0" applyFont="1" applyAlignment="1">
      <alignment vertical="center"/>
    </xf>
    <xf numFmtId="0" fontId="3" fillId="0" borderId="9" xfId="0" applyFont="1" applyBorder="1" applyAlignment="1">
      <alignment vertical="center" wrapText="1"/>
    </xf>
    <xf numFmtId="0" fontId="3" fillId="0" borderId="9" xfId="0" applyFont="1" applyBorder="1" applyAlignment="1">
      <alignment horizontal="center" vertical="center"/>
    </xf>
    <xf numFmtId="44" fontId="0" fillId="0" borderId="0" xfId="0" applyNumberFormat="1" applyFont="1" applyAlignment="1">
      <alignment vertical="center"/>
    </xf>
    <xf numFmtId="44" fontId="0" fillId="0" borderId="0" xfId="0" applyNumberFormat="1" applyAlignment="1">
      <alignment vertical="center"/>
    </xf>
    <xf numFmtId="44" fontId="0" fillId="0" borderId="12" xfId="0" applyNumberFormat="1" applyBorder="1"/>
    <xf numFmtId="44" fontId="0" fillId="0" borderId="39" xfId="0" applyNumberFormat="1" applyBorder="1"/>
    <xf numFmtId="44" fontId="0" fillId="0" borderId="40" xfId="0" applyNumberFormat="1" applyBorder="1"/>
    <xf numFmtId="0" fontId="0" fillId="0" borderId="8" xfId="0" applyBorder="1"/>
    <xf numFmtId="0" fontId="0" fillId="17" borderId="0" xfId="0" applyFill="1" applyBorder="1"/>
    <xf numFmtId="0" fontId="0" fillId="18" borderId="0" xfId="0" applyFill="1"/>
    <xf numFmtId="0" fontId="3" fillId="0" borderId="0" xfId="0" applyFont="1" applyAlignment="1">
      <alignment horizontal="right" vertical="center" wrapText="1"/>
    </xf>
    <xf numFmtId="0" fontId="0" fillId="0" borderId="0" xfId="0" applyAlignment="1">
      <alignment horizontal="center"/>
    </xf>
    <xf numFmtId="0" fontId="7" fillId="0" borderId="1" xfId="2" applyFont="1" applyFill="1" applyAlignment="1" applyProtection="1">
      <alignment horizontal="center"/>
      <protection locked="0"/>
    </xf>
    <xf numFmtId="0" fontId="7" fillId="0" borderId="1" xfId="2" applyFont="1" applyFill="1" applyAlignment="1" applyProtection="1">
      <alignment horizontal="center" wrapText="1"/>
      <protection locked="0"/>
    </xf>
    <xf numFmtId="0" fontId="0" fillId="0" borderId="16"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16" xfId="0" applyFill="1" applyBorder="1" applyAlignment="1" applyProtection="1">
      <alignment horizontal="center"/>
      <protection locked="0"/>
    </xf>
    <xf numFmtId="0" fontId="0" fillId="0" borderId="15" xfId="0" applyBorder="1" applyAlignment="1" applyProtection="1">
      <alignment horizontal="center"/>
      <protection locked="0"/>
    </xf>
    <xf numFmtId="0" fontId="3" fillId="9" borderId="0" xfId="0" applyFont="1" applyFill="1"/>
    <xf numFmtId="0" fontId="3" fillId="9" borderId="0" xfId="0" quotePrefix="1" applyFont="1" applyFill="1"/>
    <xf numFmtId="0" fontId="0" fillId="6" borderId="3" xfId="0" applyFill="1" applyBorder="1" applyAlignment="1" applyProtection="1">
      <alignment horizontal="center" vertical="center"/>
      <protection locked="0"/>
    </xf>
    <xf numFmtId="0" fontId="0" fillId="6" borderId="3" xfId="0" applyFill="1" applyBorder="1" applyAlignment="1" applyProtection="1">
      <alignment horizontal="center" vertical="center" wrapText="1"/>
      <protection locked="0"/>
    </xf>
    <xf numFmtId="0" fontId="37" fillId="9" borderId="0" xfId="0" quotePrefix="1" applyFont="1" applyFill="1"/>
    <xf numFmtId="0" fontId="37" fillId="9" borderId="0" xfId="0" applyFont="1" applyFill="1"/>
    <xf numFmtId="0" fontId="22" fillId="9" borderId="0" xfId="0" applyFont="1" applyFill="1"/>
    <xf numFmtId="0" fontId="0" fillId="0" borderId="0" xfId="0" applyAlignment="1">
      <alignment horizontal="left"/>
    </xf>
    <xf numFmtId="0" fontId="3" fillId="0" borderId="0" xfId="0" applyFont="1" applyBorder="1" applyAlignment="1">
      <alignment horizontal="center" vertical="center"/>
    </xf>
    <xf numFmtId="0" fontId="0" fillId="0" borderId="0" xfId="0" applyAlignment="1">
      <alignment horizontal="center"/>
    </xf>
    <xf numFmtId="0" fontId="0" fillId="0" borderId="0" xfId="0" quotePrefix="1"/>
    <xf numFmtId="0" fontId="38" fillId="12" borderId="4" xfId="0" applyFont="1" applyFill="1" applyBorder="1" applyAlignment="1">
      <alignment horizontal="center" wrapText="1"/>
    </xf>
    <xf numFmtId="0" fontId="0" fillId="0" borderId="10"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27" xfId="0" applyBorder="1" applyAlignment="1" applyProtection="1">
      <alignment horizontal="center" wrapText="1"/>
      <protection locked="0"/>
    </xf>
    <xf numFmtId="0" fontId="25" fillId="12" borderId="15" xfId="0" applyFont="1" applyFill="1" applyBorder="1" applyAlignment="1">
      <alignment horizontal="center" wrapText="1"/>
    </xf>
    <xf numFmtId="0" fontId="21" fillId="12" borderId="15" xfId="0" applyFont="1" applyFill="1" applyBorder="1" applyAlignment="1">
      <alignment horizontal="center" wrapText="1"/>
    </xf>
    <xf numFmtId="0" fontId="0" fillId="0" borderId="23" xfId="0" applyBorder="1" applyAlignment="1" applyProtection="1">
      <alignment horizontal="center" wrapText="1"/>
      <protection locked="0"/>
    </xf>
    <xf numFmtId="0" fontId="21" fillId="10" borderId="24" xfId="0" applyFont="1" applyFill="1" applyBorder="1" applyAlignment="1">
      <alignment vertical="center"/>
    </xf>
    <xf numFmtId="0" fontId="21" fillId="10" borderId="24" xfId="0" applyFont="1" applyFill="1" applyBorder="1" applyAlignment="1">
      <alignment vertical="center" wrapText="1"/>
    </xf>
    <xf numFmtId="0" fontId="21" fillId="10" borderId="34" xfId="0" applyFont="1" applyFill="1" applyBorder="1" applyAlignment="1">
      <alignment vertical="center" wrapText="1"/>
    </xf>
    <xf numFmtId="0" fontId="13" fillId="12" borderId="24" xfId="0" applyFont="1" applyFill="1" applyBorder="1" applyAlignment="1">
      <alignment vertical="center"/>
    </xf>
    <xf numFmtId="0" fontId="13" fillId="12" borderId="24" xfId="0" applyFont="1" applyFill="1" applyBorder="1" applyAlignment="1">
      <alignment vertical="center" wrapText="1"/>
    </xf>
    <xf numFmtId="0" fontId="13" fillId="12" borderId="34" xfId="0" applyFont="1" applyFill="1" applyBorder="1" applyAlignment="1">
      <alignment vertical="center" wrapText="1"/>
    </xf>
    <xf numFmtId="0" fontId="13" fillId="14" borderId="24" xfId="0" applyFont="1" applyFill="1" applyBorder="1" applyAlignment="1">
      <alignment vertical="center"/>
    </xf>
    <xf numFmtId="0" fontId="13" fillId="14" borderId="24" xfId="0" applyFont="1" applyFill="1" applyBorder="1" applyAlignment="1">
      <alignment vertical="center" wrapText="1"/>
    </xf>
    <xf numFmtId="0" fontId="13" fillId="14" borderId="34" xfId="0" applyFont="1" applyFill="1" applyBorder="1" applyAlignment="1">
      <alignment vertical="center" wrapText="1"/>
    </xf>
    <xf numFmtId="0" fontId="13" fillId="13" borderId="24" xfId="0" applyFont="1" applyFill="1" applyBorder="1" applyAlignment="1">
      <alignment vertical="center"/>
    </xf>
    <xf numFmtId="0" fontId="13" fillId="13" borderId="24" xfId="0" applyFont="1" applyFill="1" applyBorder="1" applyAlignment="1">
      <alignment vertical="center" wrapText="1"/>
    </xf>
    <xf numFmtId="0" fontId="13" fillId="13" borderId="34" xfId="0" applyFont="1" applyFill="1" applyBorder="1" applyAlignment="1">
      <alignment vertical="center" wrapText="1"/>
    </xf>
    <xf numFmtId="0" fontId="0" fillId="0" borderId="0" xfId="0" applyFill="1" applyBorder="1" applyAlignment="1">
      <alignment horizontal="center"/>
    </xf>
    <xf numFmtId="0" fontId="0" fillId="0" borderId="23" xfId="0" applyBorder="1" applyAlignment="1" applyProtection="1">
      <alignment wrapText="1"/>
    </xf>
    <xf numFmtId="0" fontId="0" fillId="0" borderId="10" xfId="0" applyBorder="1" applyAlignment="1" applyProtection="1">
      <alignment horizontal="center" wrapText="1"/>
    </xf>
    <xf numFmtId="0" fontId="0" fillId="0" borderId="23" xfId="0" applyBorder="1" applyAlignment="1" applyProtection="1">
      <alignment horizontal="center" wrapText="1"/>
    </xf>
    <xf numFmtId="0" fontId="0" fillId="0" borderId="7" xfId="0" applyBorder="1" applyAlignment="1" applyProtection="1">
      <alignment horizontal="center" wrapText="1"/>
    </xf>
    <xf numFmtId="0" fontId="0" fillId="0" borderId="26" xfId="0" applyBorder="1" applyAlignment="1" applyProtection="1">
      <alignment horizontal="center" wrapText="1"/>
    </xf>
    <xf numFmtId="0" fontId="0" fillId="9" borderId="0" xfId="0" applyFill="1" applyProtection="1"/>
    <xf numFmtId="0" fontId="7" fillId="0" borderId="0" xfId="0" applyFont="1" applyAlignment="1" applyProtection="1">
      <alignment horizontal="center"/>
      <protection locked="0"/>
    </xf>
    <xf numFmtId="0" fontId="21" fillId="12" borderId="4" xfId="0" applyFont="1" applyFill="1" applyBorder="1" applyAlignment="1">
      <alignment horizontal="center" wrapText="1"/>
    </xf>
    <xf numFmtId="0" fontId="21" fillId="7" borderId="9" xfId="0" applyFont="1" applyFill="1" applyBorder="1" applyAlignment="1">
      <alignment horizontal="center" wrapText="1"/>
    </xf>
    <xf numFmtId="0" fontId="21" fillId="9" borderId="0" xfId="0" applyFont="1" applyFill="1" applyBorder="1" applyAlignment="1" applyProtection="1">
      <alignment horizontal="center" vertical="center" wrapText="1"/>
    </xf>
    <xf numFmtId="0" fontId="0" fillId="9" borderId="0" xfId="0" applyFill="1" applyBorder="1"/>
    <xf numFmtId="1" fontId="0" fillId="0" borderId="16" xfId="0" applyNumberFormat="1" applyFill="1" applyBorder="1" applyAlignment="1" applyProtection="1">
      <alignment horizontal="center"/>
      <protection locked="0"/>
    </xf>
    <xf numFmtId="1" fontId="0" fillId="0" borderId="11" xfId="0" applyNumberFormat="1" applyBorder="1" applyAlignment="1" applyProtection="1">
      <alignment horizontal="center"/>
      <protection locked="0"/>
    </xf>
    <xf numFmtId="1" fontId="0" fillId="0" borderId="23" xfId="0" applyNumberFormat="1" applyBorder="1" applyAlignment="1" applyProtection="1">
      <alignment horizontal="center"/>
      <protection locked="0"/>
    </xf>
    <xf numFmtId="1" fontId="0" fillId="0" borderId="23" xfId="0" applyNumberFormat="1" applyFill="1" applyBorder="1" applyAlignment="1" applyProtection="1">
      <alignment horizontal="center"/>
      <protection locked="0"/>
    </xf>
    <xf numFmtId="1" fontId="0" fillId="0" borderId="26" xfId="0" applyNumberFormat="1" applyFill="1" applyBorder="1" applyAlignment="1" applyProtection="1">
      <alignment horizontal="center"/>
      <protection locked="0"/>
    </xf>
    <xf numFmtId="0" fontId="38" fillId="12" borderId="3" xfId="0" applyFont="1" applyFill="1" applyBorder="1" applyAlignment="1">
      <alignment horizontal="center" vertical="center" wrapText="1"/>
    </xf>
    <xf numFmtId="0" fontId="42" fillId="9" borderId="0" xfId="0" applyFont="1" applyFill="1" applyBorder="1" applyAlignment="1" applyProtection="1">
      <alignment horizontal="center"/>
    </xf>
    <xf numFmtId="2" fontId="0" fillId="0" borderId="0" xfId="0" applyNumberFormat="1" applyBorder="1"/>
    <xf numFmtId="2" fontId="0" fillId="0" borderId="12" xfId="0" applyNumberFormat="1" applyBorder="1"/>
    <xf numFmtId="2" fontId="0" fillId="0" borderId="12" xfId="0" applyNumberFormat="1" applyBorder="1" applyAlignment="1">
      <alignment horizontal="center"/>
    </xf>
    <xf numFmtId="2" fontId="0" fillId="0" borderId="0" xfId="0" applyNumberFormat="1" applyBorder="1" applyAlignment="1">
      <alignment horizontal="center"/>
    </xf>
    <xf numFmtId="0" fontId="13" fillId="13" borderId="41" xfId="0" applyFont="1" applyFill="1" applyBorder="1" applyAlignment="1">
      <alignment vertical="center"/>
    </xf>
    <xf numFmtId="0" fontId="13" fillId="13" borderId="41" xfId="0" applyFont="1" applyFill="1" applyBorder="1" applyAlignment="1">
      <alignment vertical="center" wrapText="1"/>
    </xf>
    <xf numFmtId="0" fontId="13" fillId="13" borderId="42" xfId="0" applyFont="1" applyFill="1" applyBorder="1" applyAlignment="1">
      <alignment vertical="center" wrapText="1"/>
    </xf>
    <xf numFmtId="0" fontId="13" fillId="0" borderId="0" xfId="0" applyFont="1" applyFill="1" applyBorder="1" applyAlignment="1">
      <alignment vertical="center"/>
    </xf>
    <xf numFmtId="0" fontId="13" fillId="0" borderId="0" xfId="0" applyFont="1" applyFill="1" applyBorder="1" applyAlignment="1">
      <alignment vertical="center" wrapText="1"/>
    </xf>
    <xf numFmtId="0" fontId="0" fillId="0" borderId="0" xfId="0" applyBorder="1" applyAlignment="1">
      <alignment vertical="center"/>
    </xf>
    <xf numFmtId="0" fontId="42" fillId="0" borderId="0" xfId="0" applyFont="1" applyFill="1" applyBorder="1" applyAlignment="1">
      <alignment vertical="center" wrapText="1"/>
    </xf>
    <xf numFmtId="0" fontId="0" fillId="0" borderId="0" xfId="0" applyBorder="1" applyAlignment="1">
      <alignment vertical="center" wrapText="1"/>
    </xf>
    <xf numFmtId="2" fontId="0" fillId="0" borderId="11" xfId="0" applyNumberFormat="1" applyBorder="1" applyAlignment="1">
      <alignment horizontal="center"/>
    </xf>
    <xf numFmtId="2" fontId="0" fillId="0" borderId="8" xfId="0" applyNumberFormat="1" applyBorder="1"/>
    <xf numFmtId="44" fontId="7" fillId="0" borderId="0" xfId="0" applyNumberFormat="1" applyFont="1"/>
    <xf numFmtId="0" fontId="3" fillId="6" borderId="3" xfId="0" applyFont="1" applyFill="1" applyBorder="1" applyAlignment="1" applyProtection="1">
      <alignment horizontal="center"/>
    </xf>
    <xf numFmtId="0" fontId="3" fillId="6" borderId="15" xfId="0" applyFont="1" applyFill="1" applyBorder="1" applyAlignment="1" applyProtection="1">
      <alignment horizontal="center"/>
    </xf>
    <xf numFmtId="0" fontId="0" fillId="6" borderId="8" xfId="0" applyFill="1" applyBorder="1" applyAlignment="1" applyProtection="1">
      <alignment horizontal="center"/>
    </xf>
    <xf numFmtId="44" fontId="0" fillId="6" borderId="37" xfId="0" applyNumberFormat="1" applyFill="1" applyBorder="1" applyProtection="1"/>
    <xf numFmtId="0" fontId="0" fillId="6" borderId="36" xfId="0" applyFill="1" applyBorder="1" applyAlignment="1" applyProtection="1">
      <alignment horizontal="center"/>
    </xf>
    <xf numFmtId="44" fontId="0" fillId="6" borderId="36" xfId="0" applyNumberFormat="1" applyFill="1" applyBorder="1" applyProtection="1"/>
    <xf numFmtId="0" fontId="0" fillId="6" borderId="9" xfId="0" applyFill="1" applyBorder="1" applyAlignment="1" applyProtection="1">
      <alignment horizontal="center"/>
    </xf>
    <xf numFmtId="44" fontId="0" fillId="6" borderId="38" xfId="0" applyNumberFormat="1" applyFill="1" applyBorder="1" applyProtection="1"/>
    <xf numFmtId="0" fontId="0" fillId="0" borderId="0" xfId="0" applyAlignment="1">
      <alignment horizontal="center"/>
    </xf>
    <xf numFmtId="0" fontId="0" fillId="11" borderId="0" xfId="0" applyFill="1"/>
    <xf numFmtId="0" fontId="0" fillId="11" borderId="0" xfId="0" applyFill="1" applyAlignment="1">
      <alignment horizontal="center"/>
    </xf>
    <xf numFmtId="0" fontId="0" fillId="0" borderId="11" xfId="0" applyBorder="1"/>
    <xf numFmtId="0" fontId="0" fillId="0" borderId="9" xfId="0" applyBorder="1"/>
    <xf numFmtId="0" fontId="0" fillId="0" borderId="14" xfId="0" applyBorder="1"/>
    <xf numFmtId="0" fontId="7" fillId="0" borderId="9" xfId="0" applyFont="1" applyBorder="1"/>
    <xf numFmtId="0" fontId="7" fillId="0" borderId="5" xfId="0" applyFont="1" applyBorder="1"/>
    <xf numFmtId="0" fontId="15" fillId="0" borderId="0" xfId="0" applyFont="1"/>
    <xf numFmtId="0" fontId="7" fillId="8" borderId="5" xfId="0" applyFont="1" applyFill="1" applyBorder="1"/>
    <xf numFmtId="0" fontId="7" fillId="8" borderId="0" xfId="0" applyFont="1" applyFill="1"/>
    <xf numFmtId="0" fontId="7" fillId="8" borderId="3" xfId="0" applyFont="1" applyFill="1" applyBorder="1"/>
    <xf numFmtId="44" fontId="7" fillId="8" borderId="3" xfId="0" applyNumberFormat="1" applyFont="1" applyFill="1" applyBorder="1"/>
    <xf numFmtId="43" fontId="7" fillId="8" borderId="3" xfId="0" applyNumberFormat="1" applyFont="1" applyFill="1" applyBorder="1"/>
    <xf numFmtId="44" fontId="7" fillId="8" borderId="5" xfId="0" applyNumberFormat="1" applyFont="1" applyFill="1" applyBorder="1"/>
    <xf numFmtId="0" fontId="7" fillId="0" borderId="0" xfId="0" applyFont="1" applyBorder="1"/>
    <xf numFmtId="43" fontId="7" fillId="0" borderId="0" xfId="0" applyNumberFormat="1" applyFont="1"/>
    <xf numFmtId="44" fontId="7" fillId="9" borderId="1" xfId="1" applyFont="1" applyFill="1" applyBorder="1" applyAlignment="1">
      <alignment horizontal="center"/>
    </xf>
    <xf numFmtId="44" fontId="7" fillId="9" borderId="1" xfId="1" applyFont="1" applyFill="1" applyBorder="1" applyAlignment="1">
      <alignment horizontal="center" wrapText="1"/>
    </xf>
    <xf numFmtId="0" fontId="7" fillId="0" borderId="17" xfId="2" applyFont="1" applyFill="1" applyBorder="1" applyAlignment="1" applyProtection="1">
      <alignment horizontal="center" wrapText="1"/>
      <protection locked="0"/>
    </xf>
    <xf numFmtId="44" fontId="7" fillId="9" borderId="17" xfId="1" applyFont="1" applyFill="1" applyBorder="1" applyAlignment="1">
      <alignment horizontal="center" wrapText="1"/>
    </xf>
    <xf numFmtId="0" fontId="7" fillId="6" borderId="44" xfId="0" applyFont="1" applyFill="1" applyBorder="1" applyAlignment="1">
      <alignment wrapText="1"/>
    </xf>
    <xf numFmtId="0" fontId="7" fillId="0" borderId="7" xfId="0" applyFont="1" applyBorder="1"/>
    <xf numFmtId="0" fontId="7" fillId="6" borderId="43" xfId="2" applyFont="1" applyFill="1" applyBorder="1" applyAlignment="1">
      <alignment wrapText="1"/>
    </xf>
    <xf numFmtId="0" fontId="7" fillId="0" borderId="17" xfId="2" applyFont="1" applyFill="1" applyBorder="1" applyAlignment="1" applyProtection="1">
      <alignment horizontal="center"/>
      <protection locked="0"/>
    </xf>
    <xf numFmtId="44" fontId="7" fillId="9" borderId="17" xfId="1" applyFont="1" applyFill="1" applyBorder="1" applyAlignment="1">
      <alignment horizontal="center"/>
    </xf>
    <xf numFmtId="0" fontId="15" fillId="6" borderId="44" xfId="0" applyFont="1" applyFill="1" applyBorder="1" applyAlignment="1">
      <alignment wrapText="1"/>
    </xf>
    <xf numFmtId="0" fontId="7" fillId="6" borderId="45" xfId="2" applyFont="1" applyFill="1" applyBorder="1" applyAlignment="1">
      <alignment wrapText="1"/>
    </xf>
    <xf numFmtId="0" fontId="7" fillId="6" borderId="46" xfId="2" applyFont="1" applyFill="1" applyBorder="1" applyAlignment="1">
      <alignment wrapText="1"/>
    </xf>
    <xf numFmtId="0" fontId="7" fillId="0" borderId="8" xfId="0" applyFont="1" applyBorder="1" applyAlignment="1">
      <alignment wrapText="1"/>
    </xf>
    <xf numFmtId="0" fontId="7" fillId="0" borderId="47" xfId="2" applyFont="1" applyFill="1" applyBorder="1" applyAlignment="1" applyProtection="1">
      <alignment horizontal="center" wrapText="1"/>
      <protection locked="0"/>
    </xf>
    <xf numFmtId="44" fontId="7" fillId="9" borderId="47" xfId="1" applyFont="1" applyFill="1" applyBorder="1" applyAlignment="1">
      <alignment horizontal="center" wrapText="1"/>
    </xf>
    <xf numFmtId="0" fontId="0" fillId="0" borderId="0" xfId="0" applyAlignment="1">
      <alignment horizontal="center"/>
    </xf>
    <xf numFmtId="0" fontId="0" fillId="0" borderId="8" xfId="0" applyBorder="1" applyAlignment="1"/>
    <xf numFmtId="0" fontId="0" fillId="12" borderId="0" xfId="0" applyFill="1" applyAlignment="1">
      <alignment horizontal="center"/>
    </xf>
    <xf numFmtId="0" fontId="0" fillId="19" borderId="0" xfId="0" applyFill="1" applyAlignment="1">
      <alignment horizontal="center"/>
    </xf>
    <xf numFmtId="0" fontId="0" fillId="20" borderId="0" xfId="0" applyFill="1"/>
    <xf numFmtId="0" fontId="0" fillId="20" borderId="0" xfId="0" applyFill="1" applyAlignment="1">
      <alignment horizontal="center"/>
    </xf>
    <xf numFmtId="0" fontId="0" fillId="0" borderId="12" xfId="0" applyBorder="1" applyAlignment="1" applyProtection="1">
      <alignment horizontal="center"/>
      <protection locked="0"/>
    </xf>
    <xf numFmtId="0" fontId="12" fillId="0" borderId="23" xfId="0" applyFont="1" applyBorder="1" applyAlignment="1" applyProtection="1">
      <alignment horizontal="center"/>
      <protection locked="0"/>
    </xf>
    <xf numFmtId="0" fontId="0" fillId="0" borderId="10" xfId="0" applyBorder="1" applyAlignment="1"/>
    <xf numFmtId="0" fontId="12" fillId="0" borderId="23" xfId="0" applyFont="1" applyBorder="1" applyAlignment="1" applyProtection="1">
      <alignment wrapText="1"/>
      <protection locked="0"/>
    </xf>
    <xf numFmtId="0" fontId="12" fillId="0" borderId="23" xfId="0" applyFont="1" applyBorder="1" applyAlignment="1" applyProtection="1">
      <protection locked="0"/>
    </xf>
    <xf numFmtId="0" fontId="3" fillId="0" borderId="0" xfId="0" applyFont="1" applyBorder="1" applyAlignment="1">
      <alignment horizontal="center"/>
    </xf>
    <xf numFmtId="0" fontId="25" fillId="0" borderId="23" xfId="0" applyFont="1" applyBorder="1" applyAlignment="1" applyProtection="1">
      <alignment horizontal="center" wrapText="1"/>
      <protection locked="0"/>
    </xf>
    <xf numFmtId="0" fontId="0" fillId="0" borderId="23" xfId="0" applyBorder="1" applyAlignment="1" applyProtection="1">
      <protection locked="0"/>
    </xf>
    <xf numFmtId="0" fontId="0" fillId="0" borderId="15" xfId="0" applyBorder="1" applyAlignment="1" applyProtection="1">
      <protection locked="0"/>
    </xf>
    <xf numFmtId="0" fontId="0" fillId="0" borderId="16" xfId="0" applyBorder="1" applyProtection="1">
      <protection locked="0"/>
    </xf>
    <xf numFmtId="0" fontId="0" fillId="0" borderId="23" xfId="0" applyBorder="1" applyProtection="1">
      <protection locked="0"/>
    </xf>
    <xf numFmtId="0" fontId="0" fillId="0" borderId="15" xfId="0" applyBorder="1" applyProtection="1">
      <protection locked="0"/>
    </xf>
    <xf numFmtId="0" fontId="12" fillId="0" borderId="16" xfId="0" applyFont="1" applyBorder="1" applyAlignment="1" applyProtection="1">
      <alignment horizontal="center"/>
      <protection locked="0"/>
    </xf>
    <xf numFmtId="0" fontId="0" fillId="0" borderId="14" xfId="0" applyBorder="1" applyAlignment="1" applyProtection="1">
      <alignment horizontal="center"/>
      <protection locked="0"/>
    </xf>
    <xf numFmtId="0" fontId="25" fillId="0" borderId="7" xfId="0" applyFont="1" applyBorder="1" applyAlignment="1" applyProtection="1">
      <alignment wrapText="1"/>
    </xf>
    <xf numFmtId="0" fontId="25" fillId="0" borderId="7" xfId="0" applyFont="1" applyBorder="1" applyProtection="1"/>
    <xf numFmtId="0" fontId="25" fillId="0" borderId="7" xfId="0" applyFont="1" applyBorder="1" applyAlignment="1" applyProtection="1">
      <alignment vertical="center"/>
    </xf>
    <xf numFmtId="0" fontId="12" fillId="10" borderId="7" xfId="0" applyFont="1" applyFill="1" applyBorder="1" applyAlignment="1" applyProtection="1">
      <alignment horizontal="left" vertical="top" wrapText="1"/>
    </xf>
    <xf numFmtId="0" fontId="12" fillId="10" borderId="7" xfId="0" applyFont="1" applyFill="1" applyBorder="1" applyAlignment="1" applyProtection="1">
      <alignment wrapText="1"/>
    </xf>
    <xf numFmtId="0" fontId="25" fillId="10" borderId="7" xfId="0" applyFont="1" applyFill="1" applyBorder="1" applyAlignment="1" applyProtection="1"/>
    <xf numFmtId="0" fontId="12" fillId="10" borderId="7" xfId="0" applyFont="1" applyFill="1" applyBorder="1" applyAlignment="1" applyProtection="1"/>
    <xf numFmtId="0" fontId="0" fillId="10" borderId="7" xfId="0" applyFill="1" applyBorder="1" applyAlignment="1" applyProtection="1"/>
    <xf numFmtId="0" fontId="0" fillId="10" borderId="13" xfId="0" applyFill="1" applyBorder="1" applyAlignment="1" applyProtection="1"/>
    <xf numFmtId="0" fontId="45" fillId="0" borderId="7" xfId="0" applyFont="1" applyBorder="1" applyAlignment="1" applyProtection="1">
      <alignment wrapText="1"/>
    </xf>
    <xf numFmtId="0" fontId="45" fillId="0" borderId="7" xfId="0" applyFont="1" applyBorder="1" applyProtection="1"/>
    <xf numFmtId="0" fontId="3" fillId="6" borderId="16" xfId="0" applyFont="1" applyFill="1" applyBorder="1" applyAlignment="1">
      <alignment horizontal="center" wrapText="1"/>
    </xf>
    <xf numFmtId="0" fontId="13" fillId="6" borderId="41" xfId="0" applyFont="1" applyFill="1" applyBorder="1" applyAlignment="1">
      <alignment vertical="center"/>
    </xf>
    <xf numFmtId="0" fontId="13" fillId="6" borderId="41" xfId="0" applyFont="1" applyFill="1" applyBorder="1" applyAlignment="1">
      <alignment vertical="center" wrapText="1"/>
    </xf>
    <xf numFmtId="0" fontId="13" fillId="6" borderId="42" xfId="0" applyFont="1" applyFill="1" applyBorder="1" applyAlignment="1">
      <alignment vertical="center" wrapText="1"/>
    </xf>
    <xf numFmtId="0" fontId="13" fillId="12" borderId="48" xfId="0" applyFont="1" applyFill="1" applyBorder="1" applyAlignment="1">
      <alignment vertical="center" wrapText="1"/>
    </xf>
    <xf numFmtId="0" fontId="0" fillId="9" borderId="0" xfId="0" applyFill="1" applyBorder="1" applyProtection="1"/>
    <xf numFmtId="0" fontId="3" fillId="9" borderId="0" xfId="0" applyFont="1" applyFill="1" applyBorder="1" applyAlignment="1" applyProtection="1">
      <alignment horizontal="center" wrapText="1"/>
    </xf>
    <xf numFmtId="0" fontId="13" fillId="12" borderId="49" xfId="0" applyFont="1" applyFill="1" applyBorder="1" applyAlignment="1">
      <alignment vertical="center" wrapText="1"/>
    </xf>
    <xf numFmtId="0" fontId="13" fillId="12" borderId="48" xfId="0" applyFont="1" applyFill="1" applyBorder="1" applyAlignment="1">
      <alignment vertical="center"/>
    </xf>
    <xf numFmtId="0" fontId="46" fillId="9" borderId="0" xfId="0" applyFont="1" applyFill="1" applyBorder="1" applyAlignment="1" applyProtection="1">
      <alignment horizontal="center"/>
    </xf>
    <xf numFmtId="0" fontId="25" fillId="0" borderId="15" xfId="0" applyFont="1" applyBorder="1" applyAlignment="1">
      <alignment horizontal="center" wrapText="1"/>
    </xf>
    <xf numFmtId="0" fontId="0" fillId="18" borderId="0" xfId="0" applyFill="1" applyBorder="1" applyAlignment="1">
      <alignment horizontal="center"/>
    </xf>
    <xf numFmtId="0" fontId="13" fillId="20" borderId="9" xfId="0" applyFont="1" applyFill="1" applyBorder="1" applyAlignment="1">
      <alignment horizontal="center"/>
    </xf>
    <xf numFmtId="0" fontId="13" fillId="0" borderId="9" xfId="0" applyFont="1" applyBorder="1"/>
    <xf numFmtId="0" fontId="0" fillId="20" borderId="9" xfId="0" applyFill="1" applyBorder="1" applyAlignment="1">
      <alignment horizontal="center"/>
    </xf>
    <xf numFmtId="0" fontId="13" fillId="6" borderId="36" xfId="0" applyFont="1" applyFill="1" applyBorder="1" applyAlignment="1">
      <alignment vertical="center"/>
    </xf>
    <xf numFmtId="0" fontId="13" fillId="6" borderId="36" xfId="0" applyFont="1" applyFill="1" applyBorder="1" applyAlignment="1">
      <alignment vertical="center" wrapText="1"/>
    </xf>
    <xf numFmtId="0" fontId="47" fillId="6" borderId="4" xfId="0" applyFont="1" applyFill="1" applyBorder="1" applyAlignment="1">
      <alignment horizontal="left" vertical="top" wrapText="1"/>
    </xf>
    <xf numFmtId="0" fontId="0" fillId="0" borderId="0" xfId="0" applyAlignment="1">
      <alignment horizontal="center"/>
    </xf>
    <xf numFmtId="0" fontId="48" fillId="9" borderId="0" xfId="0" applyFont="1" applyFill="1"/>
    <xf numFmtId="0" fontId="49" fillId="6" borderId="3" xfId="0" applyFont="1" applyFill="1" applyBorder="1" applyAlignment="1">
      <alignment horizontal="center" wrapText="1"/>
    </xf>
    <xf numFmtId="0" fontId="50" fillId="6" borderId="0" xfId="0" applyFont="1" applyFill="1" applyAlignment="1">
      <alignment horizontal="center" wrapText="1"/>
    </xf>
    <xf numFmtId="0" fontId="50" fillId="6" borderId="0" xfId="0" applyFont="1" applyFill="1" applyAlignment="1">
      <alignment wrapText="1"/>
    </xf>
    <xf numFmtId="0" fontId="49" fillId="6" borderId="7" xfId="0" applyFont="1" applyFill="1" applyBorder="1" applyAlignment="1">
      <alignment horizontal="center" wrapText="1"/>
    </xf>
    <xf numFmtId="0" fontId="49" fillId="6" borderId="0" xfId="0" applyFont="1" applyFill="1" applyAlignment="1">
      <alignment horizontal="center" wrapText="1"/>
    </xf>
    <xf numFmtId="0" fontId="49" fillId="6" borderId="23" xfId="0" applyFont="1" applyFill="1" applyBorder="1" applyAlignment="1">
      <alignment horizontal="center" wrapText="1"/>
    </xf>
    <xf numFmtId="0" fontId="49" fillId="6" borderId="0" xfId="0" applyFont="1" applyFill="1" applyBorder="1" applyAlignment="1">
      <alignment horizontal="center" wrapText="1"/>
    </xf>
    <xf numFmtId="0" fontId="49" fillId="6" borderId="16" xfId="0" applyFont="1" applyFill="1" applyBorder="1" applyAlignment="1">
      <alignment horizontal="center" wrapText="1"/>
    </xf>
    <xf numFmtId="0" fontId="25" fillId="0" borderId="23" xfId="0" applyFont="1" applyBorder="1" applyAlignment="1" applyProtection="1">
      <alignment horizontal="left" vertical="center" wrapText="1"/>
    </xf>
    <xf numFmtId="0" fontId="13" fillId="0" borderId="23" xfId="0" applyFont="1" applyBorder="1" applyAlignment="1" applyProtection="1">
      <alignment horizontal="left" vertical="top" wrapText="1"/>
      <protection locked="0"/>
    </xf>
    <xf numFmtId="0" fontId="0" fillId="9" borderId="0" xfId="0" applyFill="1" applyAlignment="1">
      <alignment horizontal="center"/>
    </xf>
    <xf numFmtId="0" fontId="0" fillId="0" borderId="0" xfId="0" applyAlignment="1">
      <alignment horizontal="center"/>
    </xf>
    <xf numFmtId="0" fontId="0" fillId="9" borderId="0" xfId="0" applyFill="1" applyAlignment="1">
      <alignment wrapText="1"/>
    </xf>
    <xf numFmtId="0" fontId="52" fillId="0" borderId="7" xfId="0" applyFont="1" applyBorder="1" applyAlignment="1" applyProtection="1">
      <alignment horizontal="left" vertical="top" wrapText="1"/>
    </xf>
    <xf numFmtId="0" fontId="0" fillId="0" borderId="13" xfId="0" applyBorder="1" applyAlignment="1" applyProtection="1">
      <alignment horizontal="left" vertical="top" wrapText="1"/>
      <protection locked="0"/>
    </xf>
    <xf numFmtId="0" fontId="0" fillId="9" borderId="0" xfId="0" applyFill="1" applyBorder="1" applyAlignment="1">
      <alignment horizontal="center" vertical="center" wrapText="1"/>
    </xf>
    <xf numFmtId="0" fontId="28" fillId="7" borderId="5" xfId="0" applyFont="1" applyFill="1" applyBorder="1" applyAlignment="1">
      <alignment horizontal="center" vertical="center" wrapText="1"/>
    </xf>
    <xf numFmtId="0" fontId="0" fillId="0" borderId="9" xfId="0" applyBorder="1" applyAlignment="1" applyProtection="1">
      <alignment horizontal="left" vertical="top" wrapText="1"/>
      <protection locked="0"/>
    </xf>
    <xf numFmtId="0" fontId="0" fillId="0" borderId="9" xfId="0" applyBorder="1" applyAlignment="1">
      <alignment horizontal="left" vertical="top" wrapText="1"/>
    </xf>
    <xf numFmtId="0" fontId="0" fillId="0" borderId="15" xfId="0" applyBorder="1" applyAlignment="1" applyProtection="1">
      <alignment horizontal="left" vertical="top" wrapText="1"/>
      <protection locked="0"/>
    </xf>
    <xf numFmtId="0" fontId="22" fillId="9" borderId="0" xfId="0" quotePrefix="1" applyFont="1" applyFill="1"/>
    <xf numFmtId="0" fontId="13" fillId="0" borderId="0" xfId="0" applyFont="1" applyAlignment="1">
      <alignment wrapText="1"/>
    </xf>
    <xf numFmtId="0" fontId="0" fillId="0" borderId="0" xfId="0" applyFill="1" applyAlignment="1">
      <alignment horizontal="center"/>
    </xf>
    <xf numFmtId="0" fontId="3" fillId="0" borderId="0" xfId="0" applyFont="1"/>
    <xf numFmtId="44" fontId="0" fillId="0" borderId="39" xfId="0" applyNumberFormat="1" applyBorder="1" applyProtection="1"/>
    <xf numFmtId="44" fontId="0" fillId="0" borderId="52" xfId="0" applyNumberFormat="1" applyBorder="1" applyProtection="1"/>
    <xf numFmtId="44" fontId="0" fillId="0" borderId="40" xfId="0" applyNumberFormat="1" applyBorder="1" applyProtection="1"/>
    <xf numFmtId="0" fontId="58" fillId="6" borderId="21" xfId="0" applyFont="1" applyFill="1" applyBorder="1" applyAlignment="1">
      <alignment horizontal="left" vertical="center" wrapText="1"/>
    </xf>
    <xf numFmtId="0" fontId="12" fillId="6" borderId="3" xfId="0" applyFont="1" applyFill="1" applyBorder="1" applyAlignment="1">
      <alignment wrapText="1"/>
    </xf>
    <xf numFmtId="0" fontId="25" fillId="6" borderId="3" xfId="0" applyFont="1" applyFill="1" applyBorder="1"/>
    <xf numFmtId="0" fontId="12" fillId="0" borderId="3" xfId="0" applyFont="1" applyBorder="1" applyAlignment="1">
      <alignment horizontal="center"/>
    </xf>
    <xf numFmtId="0" fontId="25" fillId="6" borderId="3" xfId="0" applyFont="1" applyFill="1" applyBorder="1" applyAlignment="1">
      <alignment wrapText="1"/>
    </xf>
    <xf numFmtId="0" fontId="3" fillId="21" borderId="3" xfId="0" applyFont="1" applyFill="1" applyBorder="1" applyAlignment="1">
      <alignment horizontal="center"/>
    </xf>
    <xf numFmtId="0" fontId="25" fillId="6" borderId="15" xfId="0" applyFont="1" applyFill="1" applyBorder="1"/>
    <xf numFmtId="0" fontId="12" fillId="6" borderId="53" xfId="0" applyFont="1" applyFill="1" applyBorder="1" applyAlignment="1">
      <alignment wrapText="1"/>
    </xf>
    <xf numFmtId="0" fontId="25" fillId="6" borderId="54" xfId="0" applyFont="1" applyFill="1" applyBorder="1"/>
    <xf numFmtId="0" fontId="25" fillId="6" borderId="53" xfId="0" applyFont="1" applyFill="1" applyBorder="1"/>
    <xf numFmtId="0" fontId="3" fillId="12" borderId="0" xfId="0" applyFont="1" applyFill="1" applyAlignment="1">
      <alignment horizontal="center"/>
    </xf>
    <xf numFmtId="1" fontId="0" fillId="0" borderId="0" xfId="0" applyNumberFormat="1"/>
    <xf numFmtId="0" fontId="62" fillId="0" borderId="0" xfId="0" applyFont="1"/>
    <xf numFmtId="0" fontId="3" fillId="0" borderId="0" xfId="0" applyFont="1" applyAlignment="1">
      <alignment horizontal="center" vertical="center"/>
    </xf>
    <xf numFmtId="164" fontId="0" fillId="0" borderId="0" xfId="0" applyNumberFormat="1" applyAlignment="1">
      <alignment horizontal="center"/>
    </xf>
    <xf numFmtId="164" fontId="3" fillId="0" borderId="0" xfId="0" applyNumberFormat="1" applyFont="1" applyAlignment="1">
      <alignment horizontal="center"/>
    </xf>
    <xf numFmtId="0" fontId="3" fillId="0" borderId="0" xfId="0" applyFont="1" applyFill="1"/>
    <xf numFmtId="164" fontId="0" fillId="0" borderId="0" xfId="0" applyNumberFormat="1" applyFill="1" applyAlignment="1">
      <alignment horizontal="center"/>
    </xf>
    <xf numFmtId="0" fontId="0" fillId="6" borderId="59" xfId="0" applyFill="1" applyBorder="1" applyAlignment="1" applyProtection="1">
      <alignment horizontal="center"/>
    </xf>
    <xf numFmtId="44" fontId="0" fillId="0" borderId="12" xfId="0" applyNumberFormat="1" applyFill="1" applyBorder="1" applyProtection="1"/>
    <xf numFmtId="44" fontId="0" fillId="0" borderId="14" xfId="0" applyNumberFormat="1" applyFill="1" applyBorder="1" applyProtection="1"/>
    <xf numFmtId="0" fontId="0" fillId="23" borderId="0" xfId="0" applyFill="1"/>
    <xf numFmtId="0" fontId="63" fillId="0" borderId="0" xfId="0" applyFont="1"/>
    <xf numFmtId="44" fontId="63" fillId="9" borderId="1" xfId="1" applyFont="1" applyFill="1" applyBorder="1" applyAlignment="1">
      <alignment horizontal="center"/>
    </xf>
    <xf numFmtId="0" fontId="63" fillId="6" borderId="1" xfId="2" applyFont="1" applyFill="1" applyAlignment="1">
      <alignment wrapText="1"/>
    </xf>
    <xf numFmtId="0" fontId="63" fillId="0" borderId="1" xfId="2" applyFont="1" applyFill="1" applyAlignment="1" applyProtection="1">
      <alignment horizontal="center"/>
      <protection locked="0"/>
    </xf>
    <xf numFmtId="0" fontId="25" fillId="0" borderId="15" xfId="0" applyFont="1" applyBorder="1" applyAlignment="1">
      <alignment horizontal="center" wrapText="1"/>
    </xf>
    <xf numFmtId="2" fontId="0" fillId="0" borderId="14" xfId="0" applyNumberFormat="1" applyBorder="1"/>
    <xf numFmtId="0" fontId="13" fillId="20" borderId="0" xfId="0" applyFont="1" applyFill="1" applyAlignment="1">
      <alignment horizontal="center" wrapText="1"/>
    </xf>
    <xf numFmtId="0" fontId="13" fillId="0" borderId="23" xfId="0" applyFont="1" applyBorder="1" applyAlignment="1" applyProtection="1">
      <alignment horizontal="center" vertical="center" wrapText="1"/>
      <protection locked="0"/>
    </xf>
    <xf numFmtId="0" fontId="12" fillId="9" borderId="7" xfId="0" applyFont="1" applyFill="1" applyBorder="1" applyAlignment="1" applyProtection="1">
      <alignment wrapText="1"/>
    </xf>
    <xf numFmtId="0" fontId="25" fillId="9" borderId="7" xfId="0" applyFont="1" applyFill="1" applyBorder="1" applyAlignment="1" applyProtection="1"/>
    <xf numFmtId="0" fontId="12" fillId="9" borderId="7" xfId="0" applyFont="1" applyFill="1" applyBorder="1" applyAlignment="1" applyProtection="1"/>
    <xf numFmtId="0" fontId="0" fillId="9" borderId="7" xfId="0" applyFill="1" applyBorder="1" applyAlignment="1" applyProtection="1"/>
    <xf numFmtId="0" fontId="0" fillId="9" borderId="13" xfId="0" applyFill="1" applyBorder="1" applyAlignment="1" applyProtection="1"/>
    <xf numFmtId="0" fontId="12" fillId="0" borderId="3" xfId="0" applyFont="1" applyBorder="1" applyAlignment="1" applyProtection="1">
      <alignment horizontal="center"/>
      <protection locked="0"/>
    </xf>
    <xf numFmtId="0" fontId="12" fillId="0" borderId="53" xfId="0" applyFont="1" applyBorder="1" applyAlignment="1" applyProtection="1">
      <alignment horizontal="center"/>
      <protection locked="0"/>
    </xf>
    <xf numFmtId="0" fontId="12" fillId="0" borderId="15" xfId="0" applyFont="1" applyBorder="1" applyAlignment="1" applyProtection="1">
      <alignment horizontal="center"/>
      <protection locked="0"/>
    </xf>
    <xf numFmtId="44" fontId="0" fillId="6" borderId="0" xfId="0" applyNumberFormat="1" applyFill="1" applyBorder="1" applyProtection="1"/>
    <xf numFmtId="44" fontId="0" fillId="6" borderId="9" xfId="0" applyNumberFormat="1" applyFill="1" applyBorder="1" applyProtection="1"/>
    <xf numFmtId="44" fontId="0" fillId="6" borderId="60" xfId="0" applyNumberFormat="1" applyFill="1" applyBorder="1" applyProtection="1"/>
    <xf numFmtId="44" fontId="0" fillId="6" borderId="61" xfId="0" applyNumberFormat="1" applyFill="1" applyBorder="1" applyProtection="1"/>
    <xf numFmtId="44" fontId="0" fillId="6" borderId="62" xfId="0" applyNumberFormat="1" applyFill="1" applyBorder="1" applyProtection="1"/>
    <xf numFmtId="0" fontId="12" fillId="9" borderId="23" xfId="0" applyFont="1" applyFill="1" applyBorder="1" applyAlignment="1" applyProtection="1">
      <alignment horizontal="left" vertical="top" wrapText="1"/>
    </xf>
    <xf numFmtId="0" fontId="0" fillId="0" borderId="10" xfId="0" applyBorder="1" applyAlignment="1" applyProtection="1">
      <alignment horizontal="center"/>
      <protection locked="0"/>
    </xf>
    <xf numFmtId="0" fontId="0" fillId="0" borderId="7" xfId="0" applyBorder="1" applyAlignment="1" applyProtection="1">
      <alignment horizontal="center"/>
      <protection locked="0"/>
    </xf>
    <xf numFmtId="2" fontId="0" fillId="0" borderId="63" xfId="0" applyNumberFormat="1" applyBorder="1"/>
    <xf numFmtId="0" fontId="13" fillId="6" borderId="9" xfId="0" applyFont="1" applyFill="1" applyBorder="1" applyAlignment="1">
      <alignment vertical="center"/>
    </xf>
    <xf numFmtId="0" fontId="13" fillId="6" borderId="9" xfId="0" applyFont="1" applyFill="1" applyBorder="1" applyAlignment="1">
      <alignment vertical="center" wrapText="1"/>
    </xf>
    <xf numFmtId="0" fontId="0" fillId="24" borderId="0" xfId="0" applyFill="1"/>
    <xf numFmtId="0" fontId="0" fillId="0" borderId="0" xfId="0" applyAlignment="1">
      <alignment wrapText="1"/>
    </xf>
    <xf numFmtId="0" fontId="25" fillId="0" borderId="15" xfId="0" applyFont="1" applyBorder="1" applyAlignment="1">
      <alignment horizontal="center" wrapText="1"/>
    </xf>
    <xf numFmtId="0" fontId="0" fillId="0" borderId="8" xfId="0" applyBorder="1" applyAlignment="1"/>
    <xf numFmtId="0" fontId="0" fillId="9" borderId="9" xfId="0" applyFill="1" applyBorder="1"/>
    <xf numFmtId="0" fontId="12" fillId="9" borderId="9" xfId="0" applyFont="1" applyFill="1" applyBorder="1" applyAlignment="1" applyProtection="1">
      <alignment horizontal="center" vertical="center"/>
      <protection locked="0"/>
    </xf>
    <xf numFmtId="0" fontId="12" fillId="9" borderId="5" xfId="0" applyFont="1" applyFill="1" applyBorder="1" applyAlignment="1" applyProtection="1">
      <alignment horizontal="center" vertical="center"/>
      <protection locked="0"/>
    </xf>
    <xf numFmtId="0" fontId="25" fillId="12" borderId="10" xfId="0" applyFont="1" applyFill="1" applyBorder="1" applyAlignment="1" applyProtection="1">
      <alignment horizontal="left"/>
    </xf>
    <xf numFmtId="0" fontId="25" fillId="12" borderId="7" xfId="0" applyFont="1" applyFill="1" applyBorder="1" applyAlignment="1" applyProtection="1">
      <alignment horizontal="left"/>
    </xf>
    <xf numFmtId="0" fontId="53" fillId="0" borderId="7" xfId="0" applyFont="1" applyFill="1" applyBorder="1" applyAlignment="1" applyProtection="1">
      <alignment horizontal="left" wrapText="1"/>
    </xf>
    <xf numFmtId="0" fontId="25" fillId="12" borderId="9" xfId="0" applyFont="1" applyFill="1" applyBorder="1" applyAlignment="1">
      <alignment horizontal="left" vertical="center" wrapText="1"/>
    </xf>
    <xf numFmtId="0" fontId="53" fillId="12" borderId="7" xfId="0" applyFont="1" applyFill="1" applyBorder="1" applyAlignment="1" applyProtection="1">
      <alignment horizontal="left" wrapText="1"/>
    </xf>
    <xf numFmtId="0" fontId="0" fillId="12" borderId="0" xfId="0" applyFill="1" applyBorder="1" applyAlignment="1">
      <alignment horizontal="center"/>
    </xf>
    <xf numFmtId="0" fontId="0" fillId="12" borderId="0" xfId="0" applyFill="1" applyBorder="1"/>
    <xf numFmtId="0" fontId="0" fillId="12" borderId="0" xfId="0" applyFill="1"/>
    <xf numFmtId="0" fontId="12" fillId="0" borderId="23" xfId="0" applyFont="1" applyBorder="1" applyAlignment="1" applyProtection="1">
      <alignment horizontal="center"/>
    </xf>
    <xf numFmtId="0" fontId="0" fillId="12" borderId="0" xfId="0" applyFill="1" applyAlignment="1" applyProtection="1">
      <alignment horizontal="center"/>
    </xf>
    <xf numFmtId="0" fontId="0" fillId="11" borderId="0" xfId="0" applyFill="1" applyProtection="1"/>
    <xf numFmtId="0" fontId="0" fillId="0" borderId="0" xfId="0" applyFill="1" applyAlignment="1" applyProtection="1">
      <alignment horizontal="center"/>
    </xf>
    <xf numFmtId="0" fontId="0" fillId="0" borderId="0" xfId="0" applyAlignment="1" applyProtection="1">
      <alignment horizontal="center"/>
    </xf>
    <xf numFmtId="0" fontId="0" fillId="0" borderId="0" xfId="0" applyProtection="1"/>
    <xf numFmtId="0" fontId="0" fillId="19" borderId="0" xfId="0" applyFill="1" applyAlignment="1" applyProtection="1">
      <alignment horizontal="center"/>
    </xf>
    <xf numFmtId="0" fontId="13" fillId="0" borderId="0" xfId="0" applyFont="1" applyAlignment="1" applyProtection="1">
      <alignment wrapText="1"/>
    </xf>
    <xf numFmtId="0" fontId="0" fillId="0" borderId="0" xfId="0" applyAlignment="1" applyProtection="1">
      <alignment wrapText="1"/>
    </xf>
    <xf numFmtId="0" fontId="13" fillId="0" borderId="9" xfId="0" applyFont="1" applyBorder="1" applyProtection="1"/>
    <xf numFmtId="0" fontId="0" fillId="0" borderId="9" xfId="0" applyBorder="1" applyProtection="1"/>
    <xf numFmtId="0" fontId="50" fillId="12" borderId="16" xfId="0" applyFont="1" applyFill="1" applyBorder="1" applyAlignment="1">
      <alignment horizontal="center" wrapText="1"/>
    </xf>
    <xf numFmtId="0" fontId="50" fillId="12" borderId="23" xfId="0" applyFont="1" applyFill="1" applyBorder="1" applyAlignment="1">
      <alignment horizontal="center" wrapText="1"/>
    </xf>
    <xf numFmtId="0" fontId="0" fillId="12" borderId="9" xfId="0" applyFill="1" applyBorder="1" applyAlignment="1">
      <alignment horizontal="left" vertical="top" wrapText="1"/>
    </xf>
    <xf numFmtId="0" fontId="0" fillId="25" borderId="0" xfId="0" applyFill="1" applyAlignment="1">
      <alignment horizontal="center"/>
    </xf>
    <xf numFmtId="0" fontId="0" fillId="25" borderId="0" xfId="0" applyFill="1" applyAlignment="1" applyProtection="1">
      <alignment horizontal="center"/>
    </xf>
    <xf numFmtId="0" fontId="0" fillId="20" borderId="0" xfId="0" applyFont="1" applyFill="1" applyAlignment="1">
      <alignment horizontal="center"/>
    </xf>
    <xf numFmtId="0" fontId="0" fillId="20" borderId="0" xfId="0" applyFont="1" applyFill="1" applyAlignment="1">
      <alignment horizontal="center" wrapText="1"/>
    </xf>
    <xf numFmtId="0" fontId="0" fillId="20" borderId="9" xfId="0" applyFont="1" applyFill="1" applyBorder="1" applyAlignment="1">
      <alignment horizontal="center"/>
    </xf>
    <xf numFmtId="0" fontId="0" fillId="18" borderId="0" xfId="0" applyFill="1" applyAlignment="1" applyProtection="1">
      <alignment horizontal="center"/>
    </xf>
    <xf numFmtId="0" fontId="25" fillId="0" borderId="10" xfId="0" applyFont="1" applyFill="1" applyBorder="1" applyAlignment="1" applyProtection="1">
      <alignment horizontal="left"/>
    </xf>
    <xf numFmtId="0" fontId="25" fillId="0" borderId="7" xfId="0" applyFont="1" applyFill="1" applyBorder="1" applyAlignment="1" applyProtection="1">
      <alignment horizontal="left"/>
    </xf>
    <xf numFmtId="0" fontId="25" fillId="0" borderId="7" xfId="0" applyFont="1" applyFill="1" applyBorder="1" applyAlignment="1" applyProtection="1">
      <alignment wrapText="1"/>
    </xf>
    <xf numFmtId="0" fontId="25" fillId="0" borderId="7" xfId="0" applyFont="1" applyFill="1" applyBorder="1" applyProtection="1"/>
    <xf numFmtId="0" fontId="45" fillId="0" borderId="7" xfId="0" applyFont="1" applyFill="1" applyBorder="1" applyAlignment="1" applyProtection="1">
      <alignment wrapText="1"/>
    </xf>
    <xf numFmtId="0" fontId="52" fillId="0" borderId="7" xfId="0" applyFont="1" applyFill="1" applyBorder="1" applyAlignment="1" applyProtection="1">
      <alignment horizontal="left" vertical="top" wrapText="1"/>
    </xf>
    <xf numFmtId="0" fontId="45" fillId="0" borderId="7" xfId="0" applyFont="1" applyFill="1" applyBorder="1" applyProtection="1"/>
    <xf numFmtId="0" fontId="25" fillId="0" borderId="7" xfId="0" applyFont="1" applyFill="1" applyBorder="1" applyAlignment="1" applyProtection="1">
      <alignment vertical="center"/>
    </xf>
    <xf numFmtId="0" fontId="25" fillId="0" borderId="23" xfId="0" applyFont="1" applyFill="1" applyBorder="1" applyAlignment="1" applyProtection="1">
      <alignment horizontal="left" vertical="center" wrapText="1"/>
    </xf>
    <xf numFmtId="0" fontId="12" fillId="0" borderId="7" xfId="0" applyFont="1" applyFill="1" applyBorder="1" applyAlignment="1" applyProtection="1">
      <alignment horizontal="left" vertical="top" wrapText="1"/>
    </xf>
    <xf numFmtId="0" fontId="12" fillId="0" borderId="7" xfId="0" applyFont="1" applyFill="1" applyBorder="1" applyAlignment="1" applyProtection="1">
      <alignment wrapText="1"/>
    </xf>
    <xf numFmtId="0" fontId="25" fillId="0" borderId="7" xfId="0" applyFont="1" applyFill="1" applyBorder="1" applyAlignment="1" applyProtection="1"/>
    <xf numFmtId="0" fontId="12" fillId="0" borderId="7" xfId="0" applyFont="1" applyFill="1" applyBorder="1" applyAlignment="1" applyProtection="1"/>
    <xf numFmtId="0" fontId="0" fillId="0" borderId="7" xfId="0" applyFill="1" applyBorder="1" applyAlignment="1" applyProtection="1"/>
    <xf numFmtId="0" fontId="0" fillId="0" borderId="13" xfId="0" applyFill="1" applyBorder="1" applyAlignment="1" applyProtection="1"/>
    <xf numFmtId="0" fontId="0" fillId="0" borderId="8" xfId="0" applyFill="1" applyBorder="1" applyAlignment="1"/>
    <xf numFmtId="0" fontId="25" fillId="0" borderId="9" xfId="0" applyFont="1" applyFill="1" applyBorder="1" applyAlignment="1">
      <alignment horizontal="left" vertical="center" wrapText="1"/>
    </xf>
    <xf numFmtId="0" fontId="25" fillId="0" borderId="15" xfId="0" applyFont="1" applyFill="1" applyBorder="1" applyAlignment="1">
      <alignment horizontal="center" wrapText="1"/>
    </xf>
    <xf numFmtId="0" fontId="12" fillId="0" borderId="23" xfId="0" applyFont="1" applyFill="1" applyBorder="1" applyAlignment="1" applyProtection="1">
      <alignment wrapText="1"/>
      <protection locked="0"/>
    </xf>
    <xf numFmtId="0" fontId="25" fillId="0" borderId="23" xfId="0" applyFont="1" applyFill="1" applyBorder="1" applyAlignment="1" applyProtection="1">
      <alignment horizontal="center" wrapText="1"/>
      <protection locked="0"/>
    </xf>
    <xf numFmtId="0" fontId="12" fillId="0" borderId="23" xfId="0" applyFont="1" applyFill="1" applyBorder="1" applyAlignment="1" applyProtection="1">
      <protection locked="0"/>
    </xf>
    <xf numFmtId="0" fontId="0" fillId="0" borderId="23" xfId="0" applyFill="1" applyBorder="1" applyAlignment="1" applyProtection="1">
      <protection locked="0"/>
    </xf>
    <xf numFmtId="0" fontId="0" fillId="0" borderId="15" xfId="0" applyFill="1" applyBorder="1" applyAlignment="1" applyProtection="1">
      <protection locked="0"/>
    </xf>
    <xf numFmtId="0" fontId="41" fillId="6" borderId="4" xfId="0" applyFont="1" applyFill="1" applyBorder="1" applyAlignment="1">
      <alignment horizontal="left" vertical="top" wrapText="1"/>
    </xf>
    <xf numFmtId="0" fontId="12" fillId="7" borderId="23" xfId="0" applyFont="1" applyFill="1" applyBorder="1" applyAlignment="1" applyProtection="1">
      <alignment horizontal="left" vertical="top" wrapText="1"/>
    </xf>
    <xf numFmtId="0" fontId="12" fillId="7" borderId="7" xfId="0" applyFont="1" applyFill="1" applyBorder="1" applyAlignment="1" applyProtection="1">
      <alignment wrapText="1"/>
    </xf>
    <xf numFmtId="0" fontId="25" fillId="7" borderId="7" xfId="0" applyFont="1" applyFill="1" applyBorder="1" applyAlignment="1" applyProtection="1"/>
    <xf numFmtId="0" fontId="12" fillId="7" borderId="7" xfId="0" applyFont="1" applyFill="1" applyBorder="1" applyAlignment="1" applyProtection="1"/>
    <xf numFmtId="0" fontId="0" fillId="7" borderId="7" xfId="0" applyFill="1" applyBorder="1" applyAlignment="1" applyProtection="1"/>
    <xf numFmtId="0" fontId="0" fillId="7" borderId="13" xfId="0" applyFill="1" applyBorder="1" applyAlignment="1" applyProtection="1"/>
    <xf numFmtId="0" fontId="0" fillId="12" borderId="9" xfId="0" applyFill="1" applyBorder="1" applyAlignment="1" applyProtection="1">
      <alignment horizontal="left" vertical="top" wrapText="1"/>
    </xf>
    <xf numFmtId="0" fontId="0" fillId="12" borderId="13" xfId="0" applyFill="1" applyBorder="1" applyAlignment="1" applyProtection="1">
      <alignment horizontal="left" vertical="top" wrapText="1"/>
    </xf>
    <xf numFmtId="0" fontId="0" fillId="12" borderId="15" xfId="0" applyFill="1" applyBorder="1" applyAlignment="1" applyProtection="1">
      <alignment horizontal="left" vertical="top" wrapText="1"/>
    </xf>
    <xf numFmtId="0" fontId="12" fillId="12" borderId="23" xfId="0" applyFont="1" applyFill="1" applyBorder="1" applyAlignment="1" applyProtection="1">
      <alignment wrapText="1"/>
    </xf>
    <xf numFmtId="0" fontId="25" fillId="12" borderId="23" xfId="0" applyFont="1" applyFill="1" applyBorder="1" applyAlignment="1" applyProtection="1">
      <alignment horizontal="center" wrapText="1"/>
    </xf>
    <xf numFmtId="0" fontId="12" fillId="12" borderId="23" xfId="0" applyFont="1" applyFill="1" applyBorder="1" applyAlignment="1" applyProtection="1"/>
    <xf numFmtId="0" fontId="0" fillId="12" borderId="23" xfId="0" applyFill="1" applyBorder="1" applyAlignment="1" applyProtection="1"/>
    <xf numFmtId="0" fontId="0" fillId="12" borderId="15" xfId="0" applyFill="1" applyBorder="1" applyAlignment="1" applyProtection="1"/>
    <xf numFmtId="0" fontId="0" fillId="12" borderId="16" xfId="0" applyFill="1" applyBorder="1" applyProtection="1"/>
    <xf numFmtId="0" fontId="0" fillId="12" borderId="23" xfId="0" applyFill="1" applyBorder="1" applyProtection="1"/>
    <xf numFmtId="0" fontId="0" fillId="12" borderId="15" xfId="0" applyFill="1" applyBorder="1" applyProtection="1"/>
    <xf numFmtId="0" fontId="0" fillId="12" borderId="12" xfId="0" applyFill="1" applyBorder="1" applyAlignment="1" applyProtection="1">
      <alignment horizontal="center"/>
    </xf>
    <xf numFmtId="0" fontId="0" fillId="12" borderId="14" xfId="0" applyFill="1" applyBorder="1" applyAlignment="1" applyProtection="1">
      <alignment horizontal="center"/>
    </xf>
    <xf numFmtId="0" fontId="0" fillId="12" borderId="23" xfId="0" applyFill="1" applyBorder="1" applyAlignment="1" applyProtection="1">
      <alignment horizontal="center"/>
    </xf>
    <xf numFmtId="0" fontId="0" fillId="12" borderId="15" xfId="0" applyFill="1" applyBorder="1" applyAlignment="1" applyProtection="1">
      <alignment horizontal="center"/>
    </xf>
    <xf numFmtId="0" fontId="0" fillId="8" borderId="4" xfId="0" applyFill="1" applyBorder="1" applyAlignment="1" applyProtection="1">
      <alignment horizontal="center"/>
    </xf>
    <xf numFmtId="0" fontId="0" fillId="8" borderId="6" xfId="0" applyFill="1" applyBorder="1" applyAlignment="1" applyProtection="1">
      <alignment horizontal="center"/>
    </xf>
    <xf numFmtId="0" fontId="0" fillId="8" borderId="4" xfId="0" applyFill="1" applyBorder="1" applyAlignment="1" applyProtection="1"/>
    <xf numFmtId="0" fontId="0" fillId="8" borderId="5" xfId="0" applyFill="1" applyBorder="1" applyAlignment="1" applyProtection="1"/>
    <xf numFmtId="0" fontId="0" fillId="8" borderId="6" xfId="0" applyFill="1" applyBorder="1" applyAlignment="1" applyProtection="1"/>
    <xf numFmtId="0" fontId="44" fillId="8" borderId="7" xfId="0" applyFont="1" applyFill="1" applyBorder="1" applyAlignment="1">
      <alignment horizontal="left" vertical="top" wrapText="1"/>
    </xf>
    <xf numFmtId="0" fontId="57" fillId="0" borderId="0" xfId="0" applyFont="1" applyAlignment="1">
      <alignment horizontal="left" vertical="top" wrapText="1"/>
    </xf>
    <xf numFmtId="0" fontId="57" fillId="0" borderId="12" xfId="0" applyFont="1" applyBorder="1" applyAlignment="1">
      <alignment horizontal="left" vertical="top" wrapText="1"/>
    </xf>
    <xf numFmtId="0" fontId="57" fillId="0" borderId="7" xfId="0" applyFont="1" applyBorder="1" applyAlignment="1">
      <alignment horizontal="left" vertical="top" wrapText="1"/>
    </xf>
    <xf numFmtId="0" fontId="23" fillId="0" borderId="7" xfId="0" applyFont="1" applyBorder="1" applyAlignment="1">
      <alignment horizontal="left" vertical="top" wrapText="1"/>
    </xf>
    <xf numFmtId="0" fontId="23" fillId="0" borderId="0" xfId="0" applyFont="1" applyAlignment="1">
      <alignment horizontal="left" vertical="top" wrapText="1"/>
    </xf>
    <xf numFmtId="0" fontId="23" fillId="0" borderId="12" xfId="0" applyFont="1" applyBorder="1" applyAlignment="1">
      <alignment horizontal="left" vertical="top" wrapText="1"/>
    </xf>
    <xf numFmtId="0" fontId="23" fillId="0" borderId="13" xfId="0" applyFont="1" applyBorder="1" applyAlignment="1">
      <alignment horizontal="left" vertical="top" wrapText="1"/>
    </xf>
    <xf numFmtId="0" fontId="23" fillId="0" borderId="9" xfId="0" applyFont="1" applyBorder="1" applyAlignment="1">
      <alignment horizontal="left" vertical="top" wrapText="1"/>
    </xf>
    <xf numFmtId="0" fontId="23" fillId="0" borderId="14" xfId="0" applyFont="1" applyBorder="1" applyAlignment="1">
      <alignment horizontal="left" vertical="top" wrapText="1"/>
    </xf>
    <xf numFmtId="0" fontId="5" fillId="9" borderId="0" xfId="0" applyFont="1" applyFill="1" applyAlignment="1">
      <alignment horizontal="center"/>
    </xf>
    <xf numFmtId="0" fontId="0" fillId="9" borderId="0" xfId="0" applyFill="1" applyAlignment="1">
      <alignment horizontal="center"/>
    </xf>
    <xf numFmtId="0" fontId="0" fillId="0" borderId="0" xfId="0" applyAlignment="1"/>
    <xf numFmtId="0" fontId="12" fillId="9" borderId="0" xfId="0" applyFont="1" applyFill="1" applyAlignment="1">
      <alignment horizontal="center" vertical="center"/>
    </xf>
    <xf numFmtId="0" fontId="0" fillId="9" borderId="0" xfId="0" applyFont="1" applyFill="1" applyAlignment="1">
      <alignment horizontal="center"/>
    </xf>
    <xf numFmtId="0" fontId="0" fillId="0" borderId="0" xfId="0" applyFont="1" applyAlignment="1"/>
    <xf numFmtId="0" fontId="0" fillId="0" borderId="0" xfId="0" applyFont="1" applyAlignment="1">
      <alignment horizontal="center"/>
    </xf>
    <xf numFmtId="0" fontId="6" fillId="9" borderId="0" xfId="0" applyFont="1" applyFill="1" applyAlignment="1">
      <alignment horizontal="center" vertical="center"/>
    </xf>
    <xf numFmtId="0" fontId="13" fillId="8" borderId="4"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0" fillId="8" borderId="14" xfId="0" applyFill="1" applyBorder="1" applyAlignment="1">
      <alignment horizontal="center" vertical="center" wrapText="1"/>
    </xf>
    <xf numFmtId="0" fontId="0" fillId="8" borderId="8" xfId="0" applyFill="1" applyBorder="1" applyAlignment="1" applyProtection="1"/>
    <xf numFmtId="0" fontId="12" fillId="8" borderId="5" xfId="0" applyFont="1" applyFill="1" applyBorder="1" applyAlignment="1" applyProtection="1"/>
    <xf numFmtId="0" fontId="12" fillId="8" borderId="6" xfId="0" applyFont="1" applyFill="1" applyBorder="1" applyAlignment="1" applyProtection="1"/>
    <xf numFmtId="0" fontId="4" fillId="3" borderId="10" xfId="0" applyFont="1" applyFill="1" applyBorder="1" applyAlignment="1">
      <alignment horizontal="left" wrapText="1"/>
    </xf>
    <xf numFmtId="0" fontId="0" fillId="0" borderId="8" xfId="0" applyBorder="1" applyAlignment="1">
      <alignment horizontal="left" wrapText="1"/>
    </xf>
    <xf numFmtId="0" fontId="0" fillId="0" borderId="11" xfId="0" applyBorder="1" applyAlignment="1">
      <alignment horizontal="left" wrapText="1"/>
    </xf>
    <xf numFmtId="0" fontId="12" fillId="8" borderId="13"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12" fillId="8" borderId="13" xfId="0" applyFont="1" applyFill="1" applyBorder="1" applyAlignment="1">
      <alignment vertical="center"/>
    </xf>
    <xf numFmtId="0" fontId="12" fillId="8" borderId="9" xfId="0" applyFont="1" applyFill="1" applyBorder="1" applyAlignment="1">
      <alignment vertical="center"/>
    </xf>
    <xf numFmtId="0" fontId="12" fillId="8" borderId="14" xfId="0" applyFont="1" applyFill="1" applyBorder="1" applyAlignment="1">
      <alignment vertical="center"/>
    </xf>
    <xf numFmtId="0" fontId="12" fillId="9" borderId="4" xfId="0" applyFont="1" applyFill="1" applyBorder="1" applyAlignment="1" applyProtection="1">
      <alignment wrapText="1"/>
      <protection locked="0"/>
    </xf>
    <xf numFmtId="0" fontId="12" fillId="0" borderId="5" xfId="0" applyFont="1" applyBorder="1" applyAlignment="1" applyProtection="1">
      <alignment wrapText="1"/>
      <protection locked="0"/>
    </xf>
    <xf numFmtId="0" fontId="12" fillId="0" borderId="6" xfId="0" applyFont="1" applyBorder="1" applyAlignment="1" applyProtection="1">
      <alignment wrapText="1"/>
      <protection locked="0"/>
    </xf>
    <xf numFmtId="0" fontId="12" fillId="9" borderId="4" xfId="0" applyFont="1" applyFill="1" applyBorder="1" applyAlignment="1" applyProtection="1">
      <alignment horizontal="left" vertical="center"/>
      <protection locked="0"/>
    </xf>
    <xf numFmtId="0" fontId="12" fillId="0" borderId="5" xfId="0" applyFont="1" applyBorder="1" applyAlignment="1" applyProtection="1">
      <protection locked="0"/>
    </xf>
    <xf numFmtId="0" fontId="12" fillId="0" borderId="6" xfId="0" applyFont="1" applyBorder="1" applyAlignment="1" applyProtection="1">
      <protection locked="0"/>
    </xf>
    <xf numFmtId="0" fontId="12" fillId="9" borderId="4" xfId="0" applyFont="1" applyFill="1" applyBorder="1" applyAlignment="1" applyProtection="1">
      <alignment horizontal="left"/>
      <protection locked="0"/>
    </xf>
    <xf numFmtId="0" fontId="12" fillId="0" borderId="5"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22" fillId="9" borderId="10" xfId="0" applyFont="1" applyFill="1" applyBorder="1" applyAlignment="1">
      <alignment vertical="center" wrapText="1"/>
    </xf>
    <xf numFmtId="0" fontId="0" fillId="9" borderId="8" xfId="0" applyFill="1" applyBorder="1" applyAlignment="1">
      <alignment vertical="center" wrapText="1"/>
    </xf>
    <xf numFmtId="0" fontId="0" fillId="0" borderId="8" xfId="0" applyBorder="1" applyAlignment="1">
      <alignment vertical="center" wrapText="1"/>
    </xf>
    <xf numFmtId="0" fontId="0" fillId="0" borderId="11" xfId="0" applyBorder="1" applyAlignment="1">
      <alignment vertical="center" wrapText="1"/>
    </xf>
    <xf numFmtId="0" fontId="0" fillId="9" borderId="13" xfId="0" applyFill="1" applyBorder="1" applyAlignment="1">
      <alignment vertical="center" wrapText="1"/>
    </xf>
    <xf numFmtId="0" fontId="0" fillId="9" borderId="9" xfId="0" applyFill="1" applyBorder="1" applyAlignment="1">
      <alignment vertical="center" wrapText="1"/>
    </xf>
    <xf numFmtId="0" fontId="0" fillId="0" borderId="9" xfId="0" applyBorder="1" applyAlignment="1">
      <alignment vertical="center" wrapText="1"/>
    </xf>
    <xf numFmtId="0" fontId="0" fillId="0" borderId="14" xfId="0" applyBorder="1" applyAlignment="1">
      <alignment vertical="center" wrapText="1"/>
    </xf>
    <xf numFmtId="0" fontId="25" fillId="9" borderId="3" xfId="0" applyFont="1" applyFill="1" applyBorder="1" applyAlignment="1">
      <alignment horizontal="left" wrapText="1"/>
    </xf>
    <xf numFmtId="0" fontId="25" fillId="9" borderId="15" xfId="0" applyFont="1" applyFill="1" applyBorder="1" applyAlignment="1">
      <alignment horizontal="center" vertical="center" wrapText="1"/>
    </xf>
    <xf numFmtId="0" fontId="25" fillId="0" borderId="15" xfId="0" applyFont="1" applyBorder="1" applyAlignment="1">
      <alignment horizontal="center" vertical="center" wrapText="1"/>
    </xf>
    <xf numFmtId="0" fontId="25" fillId="0" borderId="3" xfId="0" applyFont="1" applyBorder="1" applyAlignment="1">
      <alignment horizontal="center" vertical="center" wrapText="1"/>
    </xf>
    <xf numFmtId="0" fontId="25" fillId="9" borderId="15" xfId="0" applyFont="1" applyFill="1" applyBorder="1" applyAlignment="1">
      <alignment horizontal="center" wrapText="1"/>
    </xf>
    <xf numFmtId="0" fontId="25" fillId="0" borderId="15" xfId="0" applyFont="1" applyBorder="1" applyAlignment="1">
      <alignment horizontal="center" wrapText="1"/>
    </xf>
    <xf numFmtId="0" fontId="25" fillId="0" borderId="3" xfId="0" applyFont="1" applyBorder="1" applyAlignment="1">
      <alignment horizontal="center" wrapText="1"/>
    </xf>
    <xf numFmtId="0" fontId="25" fillId="0" borderId="16" xfId="0" applyFont="1" applyBorder="1" applyAlignment="1">
      <alignment horizontal="center" wrapText="1"/>
    </xf>
    <xf numFmtId="0" fontId="0" fillId="0" borderId="15" xfId="0" applyBorder="1" applyAlignment="1">
      <alignment horizontal="center" wrapText="1"/>
    </xf>
    <xf numFmtId="0" fontId="25" fillId="9" borderId="10" xfId="0" applyFont="1" applyFill="1" applyBorder="1" applyAlignment="1">
      <alignment horizontal="center" wrapText="1"/>
    </xf>
    <xf numFmtId="0" fontId="25" fillId="0" borderId="8" xfId="0" applyFont="1" applyBorder="1" applyAlignment="1">
      <alignment horizontal="center" wrapText="1"/>
    </xf>
    <xf numFmtId="0" fontId="25" fillId="0" borderId="11" xfId="0" applyFont="1" applyBorder="1" applyAlignment="1">
      <alignment horizontal="center" wrapText="1"/>
    </xf>
    <xf numFmtId="0" fontId="25" fillId="0" borderId="13" xfId="0" applyFont="1" applyBorder="1" applyAlignment="1">
      <alignment horizontal="center" wrapText="1"/>
    </xf>
    <xf numFmtId="0" fontId="25" fillId="0" borderId="9" xfId="0" applyFont="1" applyBorder="1" applyAlignment="1">
      <alignment horizontal="center" wrapText="1"/>
    </xf>
    <xf numFmtId="0" fontId="25" fillId="0" borderId="14" xfId="0" applyFont="1" applyBorder="1" applyAlignment="1">
      <alignment horizontal="center" wrapText="1"/>
    </xf>
    <xf numFmtId="0" fontId="24" fillId="6" borderId="10"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0" fillId="0" borderId="8" xfId="0" applyBorder="1" applyAlignment="1">
      <alignment wrapText="1"/>
    </xf>
    <xf numFmtId="0" fontId="0" fillId="0" borderId="11" xfId="0" applyBorder="1" applyAlignment="1">
      <alignment wrapText="1"/>
    </xf>
    <xf numFmtId="0" fontId="24" fillId="6" borderId="13" xfId="0" applyFont="1" applyFill="1" applyBorder="1" applyAlignment="1">
      <alignment horizontal="center" vertical="center" wrapText="1"/>
    </xf>
    <xf numFmtId="0" fontId="24" fillId="6" borderId="9" xfId="0" applyFont="1" applyFill="1" applyBorder="1" applyAlignment="1">
      <alignment horizontal="center" vertical="center" wrapText="1"/>
    </xf>
    <xf numFmtId="0" fontId="0" fillId="0" borderId="9" xfId="0" applyBorder="1" applyAlignment="1">
      <alignment wrapText="1"/>
    </xf>
    <xf numFmtId="0" fontId="0" fillId="0" borderId="14" xfId="0" applyBorder="1" applyAlignment="1">
      <alignment wrapText="1"/>
    </xf>
    <xf numFmtId="0" fontId="66" fillId="9" borderId="4" xfId="0" applyFont="1" applyFill="1" applyBorder="1" applyAlignment="1" applyProtection="1">
      <alignment horizontal="center" vertical="center" wrapText="1"/>
    </xf>
    <xf numFmtId="0" fontId="66" fillId="0" borderId="5" xfId="0" applyFont="1" applyBorder="1" applyAlignment="1" applyProtection="1">
      <alignment horizontal="center" vertical="center" wrapText="1"/>
    </xf>
    <xf numFmtId="0" fontId="66" fillId="0" borderId="6" xfId="0" applyFont="1" applyBorder="1" applyAlignment="1" applyProtection="1">
      <alignment horizontal="center" vertical="center" wrapText="1"/>
    </xf>
    <xf numFmtId="0" fontId="12" fillId="9" borderId="4" xfId="0" applyFont="1" applyFill="1" applyBorder="1" applyAlignment="1" applyProtection="1">
      <alignment vertical="center" wrapText="1"/>
      <protection locked="0"/>
    </xf>
    <xf numFmtId="0" fontId="12" fillId="0" borderId="6" xfId="0" applyFont="1" applyBorder="1" applyAlignment="1" applyProtection="1">
      <alignment vertical="center" wrapText="1"/>
      <protection locked="0"/>
    </xf>
    <xf numFmtId="0" fontId="12" fillId="9" borderId="4" xfId="0" applyFont="1" applyFill="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9" borderId="4" xfId="0" applyFont="1" applyFill="1" applyBorder="1" applyAlignment="1" applyProtection="1">
      <alignment horizontal="left" vertical="center" wrapText="1"/>
      <protection locked="0"/>
    </xf>
    <xf numFmtId="0" fontId="12" fillId="9" borderId="6" xfId="0" applyFont="1" applyFill="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66" fillId="9" borderId="13" xfId="0" applyFont="1" applyFill="1" applyBorder="1" applyAlignment="1" applyProtection="1">
      <alignment horizontal="center" vertical="center" wrapText="1"/>
    </xf>
    <xf numFmtId="0" fontId="66" fillId="0" borderId="9" xfId="0" applyFont="1" applyBorder="1" applyAlignment="1" applyProtection="1">
      <alignment horizontal="center" vertical="center" wrapText="1"/>
    </xf>
    <xf numFmtId="0" fontId="66" fillId="0" borderId="14" xfId="0" applyFont="1" applyBorder="1" applyAlignment="1" applyProtection="1">
      <alignment horizontal="center" vertical="center" wrapText="1"/>
    </xf>
    <xf numFmtId="0" fontId="24" fillId="6" borderId="4" xfId="0" applyFont="1" applyFill="1" applyBorder="1" applyAlignment="1">
      <alignment horizontal="center" vertical="center"/>
    </xf>
    <xf numFmtId="0" fontId="24" fillId="6" borderId="5" xfId="0" applyFont="1" applyFill="1" applyBorder="1" applyAlignment="1">
      <alignment horizontal="center" vertical="center"/>
    </xf>
    <xf numFmtId="0" fontId="65" fillId="6" borderId="5" xfId="0" applyFont="1" applyFill="1" applyBorder="1" applyAlignment="1"/>
    <xf numFmtId="0" fontId="65" fillId="6" borderId="6" xfId="0" applyFont="1" applyFill="1" applyBorder="1" applyAlignment="1"/>
    <xf numFmtId="0" fontId="25" fillId="6" borderId="4" xfId="0" applyFont="1" applyFill="1" applyBorder="1" applyAlignment="1"/>
    <xf numFmtId="0" fontId="25" fillId="6" borderId="5" xfId="0" applyFont="1" applyFill="1" applyBorder="1" applyAlignment="1"/>
    <xf numFmtId="0" fontId="25" fillId="6" borderId="6" xfId="0" applyFont="1" applyFill="1" applyBorder="1" applyAlignment="1"/>
    <xf numFmtId="0" fontId="25" fillId="6" borderId="4" xfId="0" applyFont="1" applyFill="1" applyBorder="1" applyAlignment="1">
      <alignment vertical="center"/>
    </xf>
    <xf numFmtId="0" fontId="25" fillId="6" borderId="4" xfId="0" applyFont="1" applyFill="1" applyBorder="1" applyAlignment="1">
      <alignment vertical="center" wrapText="1"/>
    </xf>
    <xf numFmtId="0" fontId="25" fillId="6" borderId="4" xfId="0" applyFont="1" applyFill="1" applyBorder="1" applyAlignment="1">
      <alignment wrapText="1"/>
    </xf>
    <xf numFmtId="0" fontId="12" fillId="9" borderId="5" xfId="0" applyFont="1" applyFill="1" applyBorder="1" applyAlignment="1" applyProtection="1">
      <alignment wrapText="1"/>
      <protection locked="0"/>
    </xf>
    <xf numFmtId="0" fontId="12" fillId="9" borderId="6" xfId="0" applyFont="1" applyFill="1" applyBorder="1" applyAlignment="1" applyProtection="1">
      <alignment wrapText="1"/>
      <protection locked="0"/>
    </xf>
    <xf numFmtId="0" fontId="12" fillId="9" borderId="4" xfId="0" applyFont="1" applyFill="1" applyBorder="1" applyAlignment="1" applyProtection="1">
      <protection locked="0"/>
    </xf>
    <xf numFmtId="0" fontId="12" fillId="9" borderId="5" xfId="0" applyFont="1" applyFill="1" applyBorder="1" applyAlignment="1" applyProtection="1">
      <protection locked="0"/>
    </xf>
    <xf numFmtId="0" fontId="12" fillId="9" borderId="6" xfId="0" applyFont="1" applyFill="1" applyBorder="1" applyAlignment="1" applyProtection="1">
      <protection locked="0"/>
    </xf>
    <xf numFmtId="0" fontId="12" fillId="9" borderId="13" xfId="0" applyFont="1" applyFill="1" applyBorder="1" applyAlignment="1" applyProtection="1">
      <alignment vertical="center" wrapText="1"/>
      <protection locked="0"/>
    </xf>
    <xf numFmtId="0" fontId="12" fillId="0" borderId="14" xfId="0" applyFont="1" applyBorder="1" applyAlignment="1" applyProtection="1">
      <alignment vertical="center" wrapText="1"/>
      <protection locked="0"/>
    </xf>
    <xf numFmtId="0" fontId="12" fillId="9" borderId="13"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9" borderId="13" xfId="0" applyFont="1" applyFill="1" applyBorder="1" applyAlignment="1" applyProtection="1">
      <alignment horizontal="left" vertical="center" wrapText="1"/>
      <protection locked="0"/>
    </xf>
    <xf numFmtId="0" fontId="12" fillId="9" borderId="14" xfId="0" applyFont="1" applyFill="1" applyBorder="1" applyAlignment="1" applyProtection="1">
      <alignment horizontal="left" vertical="center" wrapText="1"/>
      <protection locked="0"/>
    </xf>
    <xf numFmtId="0" fontId="12" fillId="9" borderId="9" xfId="0" applyFont="1" applyFill="1" applyBorder="1" applyAlignment="1" applyProtection="1">
      <alignment horizontal="center" vertical="center"/>
      <protection locked="0"/>
    </xf>
    <xf numFmtId="0" fontId="12" fillId="9" borderId="5" xfId="0" applyFont="1" applyFill="1" applyBorder="1" applyAlignment="1" applyProtection="1">
      <alignment horizontal="center" vertical="center"/>
      <protection locked="0"/>
    </xf>
    <xf numFmtId="0" fontId="25" fillId="6" borderId="3" xfId="0" applyFont="1" applyFill="1" applyBorder="1" applyAlignment="1">
      <alignment horizontal="left" wrapText="1"/>
    </xf>
    <xf numFmtId="0" fontId="12" fillId="6" borderId="3" xfId="0" applyFont="1" applyFill="1" applyBorder="1" applyAlignment="1">
      <alignment wrapText="1"/>
    </xf>
    <xf numFmtId="0" fontId="25" fillId="6" borderId="53" xfId="0" applyFont="1" applyFill="1" applyBorder="1" applyAlignment="1">
      <alignment horizontal="left" wrapText="1"/>
    </xf>
    <xf numFmtId="0" fontId="12" fillId="6" borderId="53" xfId="0" applyFont="1" applyFill="1" applyBorder="1" applyAlignment="1">
      <alignment wrapText="1"/>
    </xf>
    <xf numFmtId="0" fontId="25" fillId="6" borderId="13" xfId="0" applyFont="1" applyFill="1" applyBorder="1" applyAlignment="1">
      <alignment horizontal="left" wrapText="1"/>
    </xf>
    <xf numFmtId="0" fontId="12" fillId="0" borderId="9" xfId="0" applyFont="1" applyBorder="1" applyAlignment="1">
      <alignment wrapText="1"/>
    </xf>
    <xf numFmtId="0" fontId="12" fillId="0" borderId="14" xfId="0" applyFont="1" applyBorder="1" applyAlignment="1">
      <alignment wrapText="1"/>
    </xf>
    <xf numFmtId="0" fontId="25" fillId="6" borderId="4" xfId="0" applyFont="1" applyFill="1" applyBorder="1" applyAlignment="1">
      <alignment horizontal="left" wrapText="1"/>
    </xf>
    <xf numFmtId="0" fontId="12" fillId="0" borderId="5" xfId="0" applyFont="1" applyBorder="1" applyAlignment="1">
      <alignment wrapText="1"/>
    </xf>
    <xf numFmtId="0" fontId="12" fillId="0" borderId="6" xfId="0" applyFont="1" applyBorder="1" applyAlignment="1">
      <alignment wrapText="1"/>
    </xf>
    <xf numFmtId="0" fontId="25" fillId="6" borderId="55" xfId="0" applyFont="1" applyFill="1" applyBorder="1" applyAlignment="1">
      <alignment horizontal="left" wrapText="1"/>
    </xf>
    <xf numFmtId="0" fontId="12" fillId="0" borderId="56" xfId="0" applyFont="1" applyBorder="1" applyAlignment="1">
      <alignment wrapText="1"/>
    </xf>
    <xf numFmtId="0" fontId="12" fillId="0" borderId="57" xfId="0" applyFont="1" applyBorder="1" applyAlignment="1">
      <alignment wrapText="1"/>
    </xf>
    <xf numFmtId="0" fontId="3" fillId="21" borderId="3" xfId="0" applyFont="1" applyFill="1" applyBorder="1" applyAlignment="1">
      <alignment wrapText="1"/>
    </xf>
    <xf numFmtId="0" fontId="0" fillId="21" borderId="3" xfId="0" applyFill="1" applyBorder="1" applyAlignment="1">
      <alignment wrapText="1"/>
    </xf>
    <xf numFmtId="0" fontId="0" fillId="0" borderId="3" xfId="0" applyBorder="1" applyAlignment="1"/>
    <xf numFmtId="0" fontId="0" fillId="0" borderId="3" xfId="0" applyFont="1" applyBorder="1" applyAlignment="1" applyProtection="1">
      <alignment horizontal="left" vertical="top" wrapText="1"/>
      <protection locked="0"/>
    </xf>
    <xf numFmtId="0" fontId="0" fillId="0" borderId="3" xfId="0" applyBorder="1" applyAlignment="1" applyProtection="1">
      <alignment wrapText="1"/>
      <protection locked="0"/>
    </xf>
    <xf numFmtId="0" fontId="12" fillId="6" borderId="16" xfId="0" applyFont="1" applyFill="1" applyBorder="1" applyAlignment="1">
      <alignment wrapText="1"/>
    </xf>
    <xf numFmtId="0" fontId="12" fillId="6" borderId="15" xfId="0" applyFont="1" applyFill="1" applyBorder="1" applyAlignment="1">
      <alignment wrapText="1"/>
    </xf>
    <xf numFmtId="0" fontId="3" fillId="21" borderId="3" xfId="0" applyFont="1" applyFill="1" applyBorder="1" applyAlignment="1">
      <alignment horizontal="center"/>
    </xf>
    <xf numFmtId="0" fontId="0" fillId="21" borderId="3" xfId="0" applyFont="1" applyFill="1" applyBorder="1" applyAlignment="1">
      <alignment horizontal="center"/>
    </xf>
    <xf numFmtId="0" fontId="60" fillId="22" borderId="0" xfId="0" applyFont="1" applyFill="1" applyBorder="1" applyAlignment="1" applyProtection="1">
      <alignment horizontal="center" vertical="center"/>
    </xf>
    <xf numFmtId="0" fontId="23" fillId="22" borderId="0" xfId="0" applyFont="1" applyFill="1" applyAlignment="1" applyProtection="1"/>
    <xf numFmtId="0" fontId="23" fillId="22" borderId="0" xfId="0" applyFont="1" applyFill="1" applyBorder="1" applyAlignment="1" applyProtection="1">
      <alignment vertical="center"/>
    </xf>
    <xf numFmtId="0" fontId="0" fillId="0" borderId="9" xfId="0" applyBorder="1" applyAlignment="1" applyProtection="1"/>
    <xf numFmtId="0" fontId="25" fillId="6" borderId="3" xfId="0" applyFont="1" applyFill="1" applyBorder="1" applyAlignment="1">
      <alignment wrapText="1"/>
    </xf>
    <xf numFmtId="0" fontId="25" fillId="6" borderId="15" xfId="0" applyFont="1" applyFill="1" applyBorder="1" applyAlignment="1">
      <alignment wrapText="1"/>
    </xf>
    <xf numFmtId="0" fontId="25" fillId="6" borderId="15" xfId="0" applyFont="1" applyFill="1" applyBorder="1" applyAlignment="1">
      <alignment horizontal="left" wrapText="1"/>
    </xf>
    <xf numFmtId="0" fontId="3" fillId="12" borderId="0" xfId="0" applyFont="1" applyFill="1" applyAlignment="1">
      <alignment horizontal="center"/>
    </xf>
    <xf numFmtId="0" fontId="24" fillId="7" borderId="2" xfId="0" applyFont="1" applyFill="1" applyBorder="1" applyAlignment="1">
      <alignment horizontal="center" vertical="center"/>
    </xf>
    <xf numFmtId="0" fontId="0" fillId="0" borderId="2" xfId="0" applyBorder="1" applyAlignment="1"/>
    <xf numFmtId="0" fontId="10" fillId="13" borderId="25" xfId="0" applyFont="1" applyFill="1" applyBorder="1" applyAlignment="1">
      <alignment wrapText="1"/>
    </xf>
    <xf numFmtId="0" fontId="10" fillId="13" borderId="22" xfId="0" applyFont="1" applyFill="1" applyBorder="1" applyAlignment="1">
      <alignment wrapText="1"/>
    </xf>
    <xf numFmtId="0" fontId="10" fillId="13" borderId="9" xfId="0" applyFont="1" applyFill="1" applyBorder="1" applyAlignment="1">
      <alignment wrapText="1"/>
    </xf>
    <xf numFmtId="0" fontId="10" fillId="14" borderId="29" xfId="0" applyFont="1" applyFill="1" applyBorder="1" applyAlignment="1"/>
    <xf numFmtId="0" fontId="0" fillId="0" borderId="35" xfId="0" applyBorder="1" applyAlignment="1"/>
    <xf numFmtId="0" fontId="3" fillId="14" borderId="10" xfId="0" applyFont="1" applyFill="1" applyBorder="1" applyAlignment="1">
      <alignment horizontal="center"/>
    </xf>
    <xf numFmtId="0" fontId="3" fillId="14" borderId="8" xfId="0" applyFont="1" applyFill="1" applyBorder="1" applyAlignment="1">
      <alignment horizontal="center"/>
    </xf>
    <xf numFmtId="0" fontId="0" fillId="0" borderId="8" xfId="0" applyBorder="1" applyAlignment="1"/>
    <xf numFmtId="0" fontId="12" fillId="9" borderId="10" xfId="0" applyFont="1" applyFill="1" applyBorder="1" applyAlignment="1" applyProtection="1">
      <alignment horizontal="left" vertical="top" wrapText="1"/>
      <protection locked="0"/>
    </xf>
    <xf numFmtId="0" fontId="12" fillId="9" borderId="8" xfId="0" applyFont="1" applyFill="1" applyBorder="1" applyAlignment="1" applyProtection="1">
      <alignment horizontal="left" vertical="top" wrapText="1"/>
      <protection locked="0"/>
    </xf>
    <xf numFmtId="0" fontId="12" fillId="0" borderId="11" xfId="0" applyFont="1" applyBorder="1" applyAlignment="1" applyProtection="1">
      <alignment wrapText="1"/>
      <protection locked="0"/>
    </xf>
    <xf numFmtId="0" fontId="12" fillId="9" borderId="7" xfId="0" applyFont="1" applyFill="1" applyBorder="1" applyAlignment="1" applyProtection="1">
      <alignment horizontal="left" vertical="top" wrapText="1"/>
      <protection locked="0"/>
    </xf>
    <xf numFmtId="0" fontId="12" fillId="9" borderId="0" xfId="0" applyFont="1" applyFill="1" applyBorder="1" applyAlignment="1" applyProtection="1">
      <alignment horizontal="left" vertical="top" wrapText="1"/>
      <protection locked="0"/>
    </xf>
    <xf numFmtId="0" fontId="12" fillId="0" borderId="12" xfId="0" applyFont="1" applyBorder="1" applyAlignment="1" applyProtection="1">
      <alignment wrapText="1"/>
      <protection locked="0"/>
    </xf>
    <xf numFmtId="0" fontId="12" fillId="9" borderId="13" xfId="0" applyFont="1" applyFill="1" applyBorder="1" applyAlignment="1" applyProtection="1">
      <alignment horizontal="left" vertical="top" wrapText="1"/>
      <protection locked="0"/>
    </xf>
    <xf numFmtId="0" fontId="12" fillId="9" borderId="9" xfId="0" applyFont="1" applyFill="1" applyBorder="1" applyAlignment="1" applyProtection="1">
      <alignment horizontal="left" vertical="top" wrapText="1"/>
      <protection locked="0"/>
    </xf>
    <xf numFmtId="0" fontId="12" fillId="0" borderId="14" xfId="0" applyFont="1" applyBorder="1" applyAlignment="1" applyProtection="1">
      <alignment wrapText="1"/>
      <protection locked="0"/>
    </xf>
    <xf numFmtId="0" fontId="10" fillId="12" borderId="13" xfId="0" applyFont="1" applyFill="1" applyBorder="1" applyAlignment="1">
      <alignment wrapText="1"/>
    </xf>
    <xf numFmtId="0" fontId="10" fillId="0" borderId="9" xfId="0" applyFont="1" applyBorder="1" applyAlignment="1">
      <alignment wrapText="1"/>
    </xf>
    <xf numFmtId="0" fontId="3" fillId="6" borderId="10" xfId="0" applyFont="1" applyFill="1" applyBorder="1" applyAlignment="1">
      <alignment horizontal="center" vertical="center" wrapText="1"/>
    </xf>
    <xf numFmtId="0" fontId="0" fillId="6" borderId="8" xfId="0" applyFill="1" applyBorder="1" applyAlignment="1">
      <alignment wrapText="1"/>
    </xf>
    <xf numFmtId="0" fontId="3" fillId="6" borderId="50" xfId="0" applyFont="1" applyFill="1" applyBorder="1" applyAlignment="1">
      <alignment horizontal="center" wrapText="1"/>
    </xf>
    <xf numFmtId="0" fontId="0" fillId="0" borderId="51" xfId="0" applyBorder="1" applyAlignment="1">
      <alignment horizontal="center" wrapText="1"/>
    </xf>
    <xf numFmtId="0" fontId="10" fillId="6" borderId="9" xfId="0" applyFont="1" applyFill="1" applyBorder="1" applyAlignment="1">
      <alignment horizontal="left"/>
    </xf>
    <xf numFmtId="0" fontId="0" fillId="0" borderId="9" xfId="0" applyFont="1" applyBorder="1" applyAlignment="1">
      <alignment horizontal="left"/>
    </xf>
    <xf numFmtId="0" fontId="0" fillId="0" borderId="0" xfId="0" applyFont="1" applyBorder="1" applyAlignment="1">
      <alignment horizontal="left"/>
    </xf>
    <xf numFmtId="0" fontId="3" fillId="12" borderId="13" xfId="0" applyFont="1" applyFill="1" applyBorder="1" applyAlignment="1">
      <alignment horizontal="center" wrapText="1"/>
    </xf>
    <xf numFmtId="0" fontId="0" fillId="0" borderId="14" xfId="0" applyBorder="1" applyAlignment="1">
      <alignment horizontal="center" wrapText="1"/>
    </xf>
    <xf numFmtId="0" fontId="12" fillId="0" borderId="10" xfId="0" applyFont="1" applyBorder="1" applyAlignment="1" applyProtection="1">
      <alignment wrapText="1"/>
      <protection locked="0"/>
    </xf>
    <xf numFmtId="0" fontId="12" fillId="0" borderId="7" xfId="0" applyFont="1" applyBorder="1" applyAlignment="1" applyProtection="1">
      <alignment wrapText="1"/>
      <protection locked="0"/>
    </xf>
    <xf numFmtId="0" fontId="0" fillId="0" borderId="0" xfId="0" applyBorder="1" applyAlignment="1" applyProtection="1">
      <alignment wrapText="1"/>
      <protection locked="0"/>
    </xf>
    <xf numFmtId="0" fontId="0" fillId="0" borderId="8" xfId="0" applyFill="1" applyBorder="1" applyAlignment="1" applyProtection="1">
      <protection locked="0"/>
    </xf>
    <xf numFmtId="0" fontId="0" fillId="0" borderId="8" xfId="0" applyBorder="1" applyAlignment="1" applyProtection="1">
      <protection locked="0"/>
    </xf>
    <xf numFmtId="0" fontId="0" fillId="0" borderId="11" xfId="0" applyBorder="1" applyAlignment="1" applyProtection="1">
      <protection locked="0"/>
    </xf>
    <xf numFmtId="0" fontId="0" fillId="0" borderId="0" xfId="0" applyFill="1" applyBorder="1" applyAlignment="1" applyProtection="1">
      <protection locked="0"/>
    </xf>
    <xf numFmtId="0" fontId="0" fillId="0" borderId="0" xfId="0" applyBorder="1" applyAlignment="1" applyProtection="1">
      <protection locked="0"/>
    </xf>
    <xf numFmtId="0" fontId="0" fillId="0" borderId="12" xfId="0" applyBorder="1" applyAlignment="1" applyProtection="1">
      <protection locked="0"/>
    </xf>
    <xf numFmtId="0" fontId="0" fillId="0" borderId="2" xfId="0" applyFill="1" applyBorder="1" applyAlignment="1" applyProtection="1">
      <protection locked="0"/>
    </xf>
    <xf numFmtId="0" fontId="0" fillId="0" borderId="2" xfId="0" applyBorder="1" applyAlignment="1" applyProtection="1">
      <protection locked="0"/>
    </xf>
    <xf numFmtId="0" fontId="0" fillId="0" borderId="28" xfId="0" applyBorder="1" applyAlignment="1" applyProtection="1">
      <protection locked="0"/>
    </xf>
    <xf numFmtId="0" fontId="12" fillId="0" borderId="27" xfId="0" applyFont="1" applyBorder="1" applyAlignment="1" applyProtection="1">
      <alignment wrapText="1"/>
      <protection locked="0"/>
    </xf>
    <xf numFmtId="0" fontId="12" fillId="0" borderId="28" xfId="0" applyFont="1" applyBorder="1" applyAlignment="1" applyProtection="1">
      <alignment wrapText="1"/>
      <protection locked="0"/>
    </xf>
    <xf numFmtId="0" fontId="3" fillId="14" borderId="4" xfId="0" applyFont="1" applyFill="1" applyBorder="1" applyAlignment="1">
      <alignment horizontal="left"/>
    </xf>
    <xf numFmtId="0" fontId="3" fillId="14" borderId="5" xfId="0" applyFont="1" applyFill="1" applyBorder="1" applyAlignment="1">
      <alignment horizontal="left"/>
    </xf>
    <xf numFmtId="0" fontId="0" fillId="0" borderId="6" xfId="0" applyBorder="1" applyAlignment="1">
      <alignment horizontal="left"/>
    </xf>
    <xf numFmtId="0" fontId="0" fillId="0" borderId="9" xfId="0" applyBorder="1" applyAlignment="1" applyProtection="1">
      <alignment wrapText="1"/>
      <protection locked="0"/>
    </xf>
    <xf numFmtId="0" fontId="0" fillId="0" borderId="7" xfId="0" applyBorder="1" applyAlignment="1" applyProtection="1">
      <alignment wrapText="1"/>
      <protection locked="0"/>
    </xf>
    <xf numFmtId="0" fontId="0" fillId="0" borderId="12" xfId="0" applyBorder="1" applyAlignment="1" applyProtection="1">
      <alignment wrapText="1"/>
      <protection locked="0"/>
    </xf>
    <xf numFmtId="0" fontId="0" fillId="0" borderId="13" xfId="0" applyBorder="1" applyAlignment="1" applyProtection="1">
      <alignment wrapText="1"/>
      <protection locked="0"/>
    </xf>
    <xf numFmtId="0" fontId="0" fillId="0" borderId="14" xfId="0" applyBorder="1" applyAlignment="1" applyProtection="1">
      <alignment wrapText="1"/>
      <protection locked="0"/>
    </xf>
    <xf numFmtId="0" fontId="3" fillId="13" borderId="4" xfId="0" applyFont="1" applyFill="1" applyBorder="1" applyAlignment="1">
      <alignment horizontal="left"/>
    </xf>
    <xf numFmtId="0" fontId="3" fillId="0" borderId="5" xfId="0" applyFont="1" applyBorder="1" applyAlignment="1">
      <alignment horizontal="left"/>
    </xf>
    <xf numFmtId="0" fontId="0" fillId="8" borderId="10" xfId="0" applyFill="1" applyBorder="1" applyAlignment="1"/>
    <xf numFmtId="0" fontId="0" fillId="0" borderId="11" xfId="0" applyBorder="1" applyAlignment="1"/>
    <xf numFmtId="0" fontId="0" fillId="0" borderId="7" xfId="0" applyBorder="1" applyAlignment="1"/>
    <xf numFmtId="0" fontId="0" fillId="0" borderId="0" xfId="0" applyBorder="1" applyAlignment="1"/>
    <xf numFmtId="0" fontId="0" fillId="0" borderId="12" xfId="0" applyBorder="1" applyAlignment="1"/>
    <xf numFmtId="0" fontId="0" fillId="0" borderId="13" xfId="0" applyBorder="1" applyAlignment="1"/>
    <xf numFmtId="0" fontId="0" fillId="0" borderId="9" xfId="0" applyBorder="1" applyAlignment="1"/>
    <xf numFmtId="0" fontId="0" fillId="0" borderId="14" xfId="0" applyBorder="1" applyAlignment="1"/>
    <xf numFmtId="0" fontId="12" fillId="0" borderId="13" xfId="0" applyFont="1" applyBorder="1" applyAlignment="1" applyProtection="1">
      <alignment wrapText="1"/>
      <protection locked="0"/>
    </xf>
    <xf numFmtId="0" fontId="12" fillId="0" borderId="9" xfId="0" applyFont="1" applyBorder="1" applyAlignment="1" applyProtection="1">
      <alignment wrapText="1"/>
      <protection locked="0"/>
    </xf>
    <xf numFmtId="0" fontId="12" fillId="0" borderId="0" xfId="0" applyFont="1" applyBorder="1" applyAlignment="1" applyProtection="1">
      <alignment wrapText="1"/>
      <protection locked="0"/>
    </xf>
    <xf numFmtId="0" fontId="0" fillId="6" borderId="0" xfId="0" applyFill="1" applyAlignment="1" applyProtection="1">
      <alignment horizontal="center" vertical="center"/>
    </xf>
    <xf numFmtId="0" fontId="0" fillId="0" borderId="0" xfId="0" applyAlignment="1">
      <alignment horizontal="center" vertical="center"/>
    </xf>
    <xf numFmtId="0" fontId="3" fillId="0" borderId="0" xfId="0" applyFont="1" applyAlignment="1">
      <alignment horizontal="right" vertical="center"/>
    </xf>
    <xf numFmtId="0" fontId="39" fillId="0" borderId="0" xfId="0" applyFont="1" applyAlignment="1">
      <alignment horizontal="left"/>
    </xf>
    <xf numFmtId="0" fontId="40" fillId="0" borderId="0" xfId="0" applyFont="1" applyAlignment="1">
      <alignment horizontal="left"/>
    </xf>
    <xf numFmtId="0" fontId="62" fillId="0" borderId="0" xfId="0" applyFont="1" applyAlignment="1">
      <alignment horizontal="center"/>
    </xf>
    <xf numFmtId="0" fontId="0" fillId="0" borderId="8" xfId="0" applyBorder="1" applyAlignment="1" applyProtection="1"/>
    <xf numFmtId="0" fontId="0" fillId="0" borderId="0" xfId="0" applyBorder="1" applyAlignment="1" applyProtection="1"/>
    <xf numFmtId="0" fontId="0" fillId="0" borderId="58" xfId="0" applyBorder="1" applyAlignment="1"/>
    <xf numFmtId="0" fontId="39" fillId="0" borderId="0" xfId="0" applyFont="1" applyAlignment="1">
      <alignment horizontal="center"/>
    </xf>
    <xf numFmtId="0" fontId="3" fillId="7" borderId="4" xfId="0" applyFont="1" applyFill="1" applyBorder="1" applyAlignment="1">
      <alignment horizontal="center"/>
    </xf>
    <xf numFmtId="0" fontId="0" fillId="0" borderId="6" xfId="0" applyBorder="1" applyAlignment="1">
      <alignment horizontal="center"/>
    </xf>
    <xf numFmtId="0" fontId="33" fillId="7" borderId="13" xfId="0" applyFont="1" applyFill="1" applyBorder="1" applyAlignment="1">
      <alignment horizontal="center" vertical="center" wrapText="1"/>
    </xf>
    <xf numFmtId="0" fontId="33" fillId="7" borderId="9" xfId="0" applyFont="1" applyFill="1" applyBorder="1" applyAlignment="1">
      <alignment horizontal="center" vertical="center" wrapText="1"/>
    </xf>
    <xf numFmtId="0" fontId="34" fillId="7" borderId="9" xfId="0" applyFont="1" applyFill="1" applyBorder="1" applyAlignment="1">
      <alignment horizontal="center" vertical="center" wrapText="1"/>
    </xf>
    <xf numFmtId="0" fontId="16" fillId="4" borderId="0" xfId="0" applyFont="1" applyFill="1" applyBorder="1" applyAlignment="1">
      <alignment horizontal="center" wrapText="1"/>
    </xf>
    <xf numFmtId="0" fontId="20" fillId="5" borderId="0" xfId="0" applyFont="1" applyFill="1" applyBorder="1" applyAlignment="1">
      <alignment horizontal="center" wrapText="1"/>
    </xf>
    <xf numFmtId="0" fontId="14" fillId="15" borderId="0" xfId="0" applyFont="1" applyFill="1" applyBorder="1" applyAlignment="1">
      <alignment horizontal="center" wrapText="1"/>
    </xf>
    <xf numFmtId="0" fontId="3" fillId="15" borderId="0" xfId="0" applyFont="1" applyFill="1" applyAlignment="1">
      <alignment wrapText="1"/>
    </xf>
    <xf numFmtId="0" fontId="3" fillId="15" borderId="0" xfId="0" applyFont="1" applyFill="1" applyAlignment="1">
      <alignment horizontal="center" wrapText="1"/>
    </xf>
    <xf numFmtId="0" fontId="17" fillId="15" borderId="32" xfId="2" applyFont="1" applyFill="1" applyBorder="1" applyAlignment="1">
      <alignment horizontal="center" wrapText="1"/>
    </xf>
    <xf numFmtId="0" fontId="17" fillId="15" borderId="0" xfId="2" applyFont="1" applyFill="1" applyBorder="1" applyAlignment="1">
      <alignment horizontal="center" wrapText="1"/>
    </xf>
    <xf numFmtId="0" fontId="23" fillId="0" borderId="0" xfId="0" applyFont="1" applyAlignment="1">
      <alignment horizontal="center" wrapText="1"/>
    </xf>
    <xf numFmtId="0" fontId="7" fillId="6" borderId="33" xfId="2" applyFont="1" applyFill="1" applyBorder="1" applyAlignment="1">
      <alignment horizontal="left" vertical="center" wrapText="1"/>
    </xf>
    <xf numFmtId="0" fontId="7" fillId="6" borderId="18" xfId="2" applyFont="1" applyFill="1" applyBorder="1" applyAlignment="1">
      <alignment horizontal="left" vertical="center" wrapText="1"/>
    </xf>
    <xf numFmtId="0" fontId="7" fillId="6" borderId="19" xfId="2" applyFont="1" applyFill="1" applyBorder="1" applyAlignment="1">
      <alignment horizontal="left" vertical="center" wrapText="1"/>
    </xf>
    <xf numFmtId="0" fontId="7" fillId="0" borderId="33" xfId="2" applyFont="1" applyFill="1" applyBorder="1" applyAlignment="1" applyProtection="1">
      <alignment horizontal="center" vertical="center"/>
      <protection locked="0"/>
    </xf>
    <xf numFmtId="0" fontId="7" fillId="0" borderId="18" xfId="2" applyFont="1" applyFill="1" applyBorder="1" applyAlignment="1" applyProtection="1">
      <alignment horizontal="center" vertical="center"/>
      <protection locked="0"/>
    </xf>
    <xf numFmtId="0" fontId="7" fillId="0" borderId="19" xfId="2" applyFont="1" applyFill="1" applyBorder="1" applyAlignment="1" applyProtection="1">
      <alignment horizontal="center" vertical="center"/>
      <protection locked="0"/>
    </xf>
    <xf numFmtId="44" fontId="7" fillId="9" borderId="33" xfId="1" applyFont="1" applyFill="1" applyBorder="1" applyAlignment="1">
      <alignment horizontal="center" vertical="center"/>
    </xf>
    <xf numFmtId="44" fontId="7" fillId="9" borderId="18" xfId="1" applyFont="1" applyFill="1" applyBorder="1" applyAlignment="1">
      <alignment horizontal="center" vertical="center"/>
    </xf>
    <xf numFmtId="44" fontId="7" fillId="9" borderId="19" xfId="1" applyFont="1" applyFill="1" applyBorder="1" applyAlignment="1">
      <alignment horizontal="center" vertical="center"/>
    </xf>
    <xf numFmtId="0" fontId="7" fillId="6" borderId="17" xfId="2" applyFont="1" applyFill="1" applyBorder="1" applyAlignment="1">
      <alignment horizontal="left" vertical="center" wrapText="1"/>
    </xf>
    <xf numFmtId="44" fontId="7" fillId="9" borderId="17" xfId="1" applyNumberFormat="1" applyFont="1" applyFill="1" applyBorder="1" applyAlignment="1">
      <alignment horizontal="center" vertical="center"/>
    </xf>
    <xf numFmtId="44" fontId="7" fillId="9" borderId="18" xfId="1" applyNumberFormat="1" applyFont="1" applyFill="1" applyBorder="1" applyAlignment="1">
      <alignment horizontal="center" vertical="center"/>
    </xf>
    <xf numFmtId="44" fontId="7" fillId="9" borderId="19" xfId="1" applyNumberFormat="1" applyFont="1" applyFill="1" applyBorder="1" applyAlignment="1">
      <alignment horizontal="center" vertical="center"/>
    </xf>
    <xf numFmtId="0" fontId="43" fillId="0" borderId="4" xfId="2" applyFont="1" applyFill="1" applyBorder="1" applyAlignment="1" applyProtection="1">
      <alignment horizontal="left" vertical="top" wrapText="1"/>
      <protection locked="0"/>
    </xf>
    <xf numFmtId="0" fontId="13" fillId="0" borderId="5" xfId="0" applyFont="1" applyBorder="1" applyAlignment="1" applyProtection="1">
      <alignment horizontal="left" vertical="top" wrapText="1"/>
      <protection locked="0"/>
    </xf>
    <xf numFmtId="0" fontId="13" fillId="0" borderId="6" xfId="0" applyFont="1" applyBorder="1" applyAlignment="1" applyProtection="1">
      <alignment horizontal="left" vertical="top" wrapText="1"/>
      <protection locked="0"/>
    </xf>
    <xf numFmtId="0" fontId="7" fillId="0" borderId="0" xfId="0" applyFont="1" applyAlignment="1">
      <alignment wrapText="1"/>
    </xf>
    <xf numFmtId="43" fontId="7" fillId="8" borderId="33" xfId="1" applyNumberFormat="1" applyFont="1" applyFill="1" applyBorder="1" applyAlignment="1">
      <alignment horizontal="center" vertical="center"/>
    </xf>
    <xf numFmtId="43" fontId="7" fillId="8" borderId="18" xfId="1" applyNumberFormat="1" applyFont="1" applyFill="1" applyBorder="1" applyAlignment="1">
      <alignment horizontal="center" vertical="center"/>
    </xf>
    <xf numFmtId="43" fontId="7" fillId="8" borderId="19" xfId="1" applyNumberFormat="1" applyFont="1" applyFill="1" applyBorder="1" applyAlignment="1">
      <alignment horizontal="center" vertical="center"/>
    </xf>
    <xf numFmtId="43" fontId="7" fillId="8" borderId="3" xfId="0" applyNumberFormat="1" applyFont="1" applyFill="1" applyBorder="1" applyAlignment="1"/>
    <xf numFmtId="43" fontId="0" fillId="8" borderId="3" xfId="0" applyNumberFormat="1" applyFill="1" applyBorder="1" applyAlignment="1"/>
    <xf numFmtId="0" fontId="43" fillId="9" borderId="10" xfId="2" applyFont="1" applyFill="1" applyBorder="1" applyAlignment="1" applyProtection="1">
      <alignment horizontal="left" vertical="top"/>
      <protection locked="0"/>
    </xf>
    <xf numFmtId="0" fontId="13" fillId="9" borderId="8" xfId="0" applyFont="1" applyFill="1" applyBorder="1" applyAlignment="1">
      <alignment horizontal="left" vertical="top"/>
    </xf>
    <xf numFmtId="0" fontId="13" fillId="9" borderId="11" xfId="0" applyFont="1" applyFill="1" applyBorder="1" applyAlignment="1">
      <alignment horizontal="left" vertical="top"/>
    </xf>
    <xf numFmtId="0" fontId="7" fillId="0" borderId="8" xfId="0" applyFont="1" applyBorder="1" applyAlignment="1"/>
    <xf numFmtId="0" fontId="43" fillId="9" borderId="4" xfId="2" applyFont="1" applyFill="1" applyBorder="1" applyAlignment="1" applyProtection="1">
      <alignment horizontal="left" vertical="top"/>
      <protection locked="0"/>
    </xf>
    <xf numFmtId="0" fontId="13" fillId="9" borderId="5" xfId="0" applyFont="1" applyFill="1" applyBorder="1" applyAlignment="1">
      <alignment horizontal="left" vertical="top"/>
    </xf>
    <xf numFmtId="0" fontId="13" fillId="9" borderId="6" xfId="0" applyFont="1" applyFill="1" applyBorder="1" applyAlignment="1">
      <alignment horizontal="left" vertical="top"/>
    </xf>
    <xf numFmtId="0" fontId="0" fillId="9" borderId="0" xfId="0" applyFill="1" applyAlignment="1">
      <alignment wrapText="1"/>
    </xf>
    <xf numFmtId="0" fontId="0" fillId="0" borderId="0" xfId="0" applyAlignment="1">
      <alignment wrapText="1"/>
    </xf>
    <xf numFmtId="0" fontId="0" fillId="9" borderId="0" xfId="0" applyFill="1" applyAlignment="1">
      <alignment horizontal="left" vertical="center" wrapText="1"/>
    </xf>
    <xf numFmtId="0" fontId="0" fillId="9" borderId="0" xfId="0" applyFill="1" applyAlignment="1">
      <alignment vertical="center" wrapText="1"/>
    </xf>
    <xf numFmtId="0" fontId="24" fillId="7" borderId="0" xfId="0" applyFont="1" applyFill="1" applyBorder="1" applyAlignment="1">
      <alignment horizontal="center" vertical="center"/>
    </xf>
    <xf numFmtId="0" fontId="0" fillId="7" borderId="0" xfId="0" applyFill="1" applyBorder="1" applyAlignment="1">
      <alignment vertical="center"/>
    </xf>
    <xf numFmtId="0" fontId="26" fillId="9" borderId="0" xfId="0" applyFont="1" applyFill="1" applyBorder="1" applyAlignment="1">
      <alignment horizontal="left" vertical="center" wrapText="1"/>
    </xf>
    <xf numFmtId="0" fontId="27" fillId="9" borderId="0" xfId="0" applyFont="1" applyFill="1" applyBorder="1" applyAlignment="1">
      <alignment vertical="center" wrapText="1"/>
    </xf>
    <xf numFmtId="0" fontId="27" fillId="9" borderId="2" xfId="0" applyFont="1" applyFill="1" applyBorder="1" applyAlignment="1">
      <alignment vertical="center" wrapText="1"/>
    </xf>
    <xf numFmtId="0" fontId="0" fillId="9" borderId="0" xfId="0" applyFont="1" applyFill="1" applyAlignment="1">
      <alignment vertical="center" wrapText="1"/>
    </xf>
    <xf numFmtId="0" fontId="0" fillId="9" borderId="0" xfId="0" applyFill="1" applyAlignment="1">
      <alignment horizontal="left" vertical="top" wrapText="1"/>
    </xf>
    <xf numFmtId="0" fontId="0" fillId="0" borderId="0" xfId="0" applyAlignment="1">
      <alignment horizontal="left" vertical="top" wrapText="1"/>
    </xf>
  </cellXfs>
  <cellStyles count="4">
    <cellStyle name="Currency" xfId="1" builtinId="4"/>
    <cellStyle name="Hyperlink" xfId="3" builtinId="8"/>
    <cellStyle name="Normal" xfId="0" builtinId="0"/>
    <cellStyle name="Output" xfId="2" builtinId="21"/>
  </cellStyles>
  <dxfs count="7">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rgb="FFFF0000"/>
      </font>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0</xdr:colOff>
      <xdr:row>0</xdr:row>
      <xdr:rowOff>38100</xdr:rowOff>
    </xdr:from>
    <xdr:to>
      <xdr:col>10</xdr:col>
      <xdr:colOff>731520</xdr:colOff>
      <xdr:row>1</xdr:row>
      <xdr:rowOff>60960</xdr:rowOff>
    </xdr:to>
    <xdr:pic>
      <xdr:nvPicPr>
        <xdr:cNvPr id="6" name="Picture 1">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93180" y="38100"/>
          <a:ext cx="731520" cy="350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60960</xdr:colOff>
      <xdr:row>0</xdr:row>
      <xdr:rowOff>45720</xdr:rowOff>
    </xdr:from>
    <xdr:to>
      <xdr:col>0</xdr:col>
      <xdr:colOff>982980</xdr:colOff>
      <xdr:row>1</xdr:row>
      <xdr:rowOff>15240</xdr:rowOff>
    </xdr:to>
    <xdr:pic>
      <xdr:nvPicPr>
        <xdr:cNvPr id="7" name="Picture 2">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 y="45720"/>
          <a:ext cx="922020" cy="297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mailto:IDSNorth@pennmedicine.upenn.edu" TargetMode="External"/><Relationship Id="rId2" Type="http://schemas.openxmlformats.org/officeDocument/2006/relationships/hyperlink" Target="mailto:PennIDS@pennmedicine.upenn.edu" TargetMode="External"/><Relationship Id="rId1" Type="http://schemas.openxmlformats.org/officeDocument/2006/relationships/hyperlink" Target="http://www.itmat.upenn.edu/ids.s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theme="0"/>
    <pageSetUpPr fitToPage="1"/>
  </sheetPr>
  <dimension ref="A1:O56"/>
  <sheetViews>
    <sheetView tabSelected="1" zoomScaleNormal="100" workbookViewId="0">
      <selection activeCell="N10" sqref="N10"/>
    </sheetView>
  </sheetViews>
  <sheetFormatPr defaultColWidth="8.77734375" defaultRowHeight="14.4" x14ac:dyDescent="0.3"/>
  <sheetData>
    <row r="1" spans="1:15" x14ac:dyDescent="0.3">
      <c r="A1" s="125" t="s">
        <v>121</v>
      </c>
      <c r="B1" s="3"/>
      <c r="C1" s="3"/>
      <c r="D1" s="3"/>
      <c r="E1" s="3"/>
      <c r="F1" s="3"/>
      <c r="G1" s="3"/>
      <c r="H1" s="3"/>
      <c r="I1" s="3"/>
      <c r="J1" s="3"/>
      <c r="K1" s="3"/>
      <c r="L1" s="3"/>
    </row>
    <row r="2" spans="1:15" ht="1.2" customHeight="1" x14ac:dyDescent="0.3">
      <c r="A2" s="119"/>
      <c r="B2" s="3"/>
      <c r="C2" s="3"/>
      <c r="D2" s="3"/>
      <c r="E2" s="3"/>
      <c r="F2" s="3"/>
      <c r="G2" s="3"/>
      <c r="H2" s="3"/>
      <c r="I2" s="3"/>
      <c r="J2" s="3"/>
      <c r="K2" s="3"/>
      <c r="L2" s="3"/>
    </row>
    <row r="3" spans="1:15" ht="1.2" customHeight="1" x14ac:dyDescent="0.3">
      <c r="A3" s="119"/>
      <c r="B3" s="3"/>
      <c r="C3" s="3"/>
      <c r="D3" s="3"/>
      <c r="E3" s="3"/>
      <c r="F3" s="3"/>
      <c r="G3" s="3"/>
      <c r="H3" s="3"/>
      <c r="I3" s="3"/>
      <c r="J3" s="3"/>
      <c r="K3" s="3"/>
      <c r="L3" s="3"/>
    </row>
    <row r="4" spans="1:15" ht="1.2" customHeight="1" x14ac:dyDescent="0.3">
      <c r="A4" s="119"/>
      <c r="B4" s="3"/>
      <c r="C4" s="3"/>
      <c r="D4" s="3"/>
      <c r="E4" s="3"/>
      <c r="F4" s="3"/>
      <c r="G4" s="3"/>
      <c r="H4" s="3"/>
      <c r="I4" s="3"/>
      <c r="J4" s="3"/>
      <c r="K4" s="3"/>
      <c r="L4" s="3"/>
    </row>
    <row r="5" spans="1:15" ht="1.2" customHeight="1" x14ac:dyDescent="0.3">
      <c r="A5" s="119"/>
      <c r="B5" s="3"/>
      <c r="C5" s="3"/>
      <c r="D5" s="3"/>
      <c r="E5" s="3"/>
      <c r="F5" s="3"/>
      <c r="G5" s="3"/>
      <c r="H5" s="3"/>
      <c r="I5" s="3"/>
      <c r="J5" s="3"/>
      <c r="K5" s="3"/>
      <c r="L5" s="3"/>
    </row>
    <row r="6" spans="1:15" x14ac:dyDescent="0.3">
      <c r="A6" s="294" t="s">
        <v>328</v>
      </c>
      <c r="B6" s="3"/>
      <c r="C6" s="3"/>
      <c r="D6" s="3"/>
      <c r="E6" s="3"/>
      <c r="F6" s="3"/>
      <c r="G6" s="3"/>
      <c r="H6" s="3"/>
      <c r="I6" s="3"/>
      <c r="J6" s="3"/>
      <c r="K6" s="3"/>
      <c r="L6" s="3"/>
    </row>
    <row r="7" spans="1:15" ht="21.6" customHeight="1" x14ac:dyDescent="0.3">
      <c r="A7" s="120" t="s">
        <v>326</v>
      </c>
      <c r="B7" s="3"/>
      <c r="C7" s="3"/>
      <c r="D7" s="3"/>
      <c r="E7" s="3"/>
      <c r="F7" s="3"/>
      <c r="G7" s="3"/>
      <c r="H7" s="3"/>
      <c r="I7" s="3"/>
      <c r="J7" s="3"/>
      <c r="K7" s="3"/>
      <c r="L7" s="3"/>
    </row>
    <row r="8" spans="1:15" ht="5.4" customHeight="1" x14ac:dyDescent="0.3">
      <c r="A8" s="3"/>
      <c r="B8" s="3"/>
      <c r="C8" s="3"/>
      <c r="D8" s="3"/>
      <c r="E8" s="3"/>
      <c r="F8" s="3"/>
      <c r="G8" s="3"/>
      <c r="H8" s="3"/>
      <c r="I8" s="3"/>
      <c r="J8" s="3"/>
      <c r="K8" s="3"/>
      <c r="L8" s="3"/>
    </row>
    <row r="9" spans="1:15" ht="21" customHeight="1" x14ac:dyDescent="0.3">
      <c r="A9" s="123" t="s">
        <v>322</v>
      </c>
      <c r="B9" s="3"/>
      <c r="C9" s="3"/>
      <c r="D9" s="3"/>
      <c r="E9" s="3"/>
      <c r="F9" s="3"/>
      <c r="G9" s="3"/>
      <c r="H9" s="3"/>
      <c r="I9" s="3"/>
      <c r="J9" s="3"/>
      <c r="K9" s="3"/>
      <c r="L9" s="3"/>
    </row>
    <row r="10" spans="1:15" ht="19.8" customHeight="1" x14ac:dyDescent="0.3">
      <c r="A10" s="119" t="s">
        <v>323</v>
      </c>
      <c r="B10" s="3"/>
      <c r="C10" s="3"/>
      <c r="D10" s="3"/>
      <c r="E10" s="3"/>
      <c r="F10" s="3"/>
      <c r="G10" s="3"/>
      <c r="H10" s="3"/>
      <c r="I10" s="3"/>
      <c r="J10" s="3"/>
      <c r="K10" s="3"/>
      <c r="L10" s="3"/>
    </row>
    <row r="11" spans="1:15" ht="17.55" customHeight="1" x14ac:dyDescent="0.3">
      <c r="A11" s="119" t="s">
        <v>211</v>
      </c>
      <c r="B11" s="3"/>
      <c r="C11" s="3"/>
      <c r="D11" s="3"/>
      <c r="E11" s="3"/>
      <c r="F11" s="3"/>
      <c r="G11" s="3"/>
      <c r="H11" s="3"/>
      <c r="I11" s="3"/>
      <c r="J11" s="3"/>
      <c r="K11" s="3"/>
      <c r="L11" s="3"/>
      <c r="O11" s="123"/>
    </row>
    <row r="12" spans="1:15" ht="6" customHeight="1" x14ac:dyDescent="0.3">
      <c r="A12" s="3"/>
      <c r="B12" s="3"/>
      <c r="C12" s="3"/>
      <c r="D12" s="3"/>
      <c r="E12" s="3"/>
      <c r="F12" s="3"/>
      <c r="G12" s="3"/>
      <c r="H12" s="3"/>
      <c r="I12" s="3"/>
      <c r="J12" s="3"/>
      <c r="K12" s="3"/>
      <c r="L12" s="3"/>
      <c r="O12" s="119"/>
    </row>
    <row r="13" spans="1:15" x14ac:dyDescent="0.3">
      <c r="A13" s="124" t="s">
        <v>295</v>
      </c>
      <c r="B13" s="3"/>
      <c r="C13" s="3"/>
      <c r="D13" s="3"/>
      <c r="E13" s="3"/>
      <c r="F13" s="3"/>
      <c r="G13" s="3"/>
      <c r="H13" s="3"/>
      <c r="I13" s="3"/>
      <c r="J13" s="3"/>
      <c r="K13" s="3"/>
      <c r="L13" s="3"/>
    </row>
    <row r="14" spans="1:15" ht="15.45" customHeight="1" x14ac:dyDescent="0.3">
      <c r="A14" s="119" t="s">
        <v>301</v>
      </c>
      <c r="B14" s="3"/>
      <c r="C14" s="3"/>
      <c r="D14" s="3"/>
      <c r="E14" s="3"/>
      <c r="F14" s="3"/>
      <c r="G14" s="3"/>
      <c r="H14" s="3"/>
      <c r="I14" s="3"/>
      <c r="J14" s="3"/>
      <c r="K14" s="3"/>
      <c r="L14" s="3"/>
    </row>
    <row r="15" spans="1:15" x14ac:dyDescent="0.3">
      <c r="A15" s="119" t="s">
        <v>122</v>
      </c>
      <c r="B15" s="3"/>
      <c r="C15" s="3"/>
      <c r="D15" s="3"/>
      <c r="E15" s="3"/>
      <c r="F15" s="3"/>
      <c r="G15" s="3"/>
      <c r="H15" s="3"/>
      <c r="I15" s="3"/>
      <c r="J15" s="3"/>
      <c r="K15" s="3"/>
      <c r="L15" s="3"/>
    </row>
    <row r="16" spans="1:15" ht="3.6" customHeight="1" x14ac:dyDescent="0.3">
      <c r="A16" s="3"/>
      <c r="B16" s="3"/>
      <c r="C16" s="3"/>
      <c r="D16" s="3"/>
      <c r="E16" s="3"/>
      <c r="F16" s="3"/>
      <c r="G16" s="3"/>
      <c r="H16" s="3"/>
      <c r="I16" s="3"/>
      <c r="J16" s="3"/>
      <c r="K16" s="3"/>
      <c r="L16" s="3"/>
    </row>
    <row r="17" spans="1:12" hidden="1" x14ac:dyDescent="0.3">
      <c r="A17" s="124" t="s">
        <v>123</v>
      </c>
      <c r="B17" s="3"/>
      <c r="C17" s="3"/>
      <c r="D17" s="3"/>
      <c r="E17" s="3"/>
      <c r="F17" s="3"/>
      <c r="G17" s="3"/>
      <c r="H17" s="3"/>
      <c r="I17" s="3"/>
      <c r="J17" s="3"/>
      <c r="K17" s="3"/>
      <c r="L17" s="3"/>
    </row>
    <row r="18" spans="1:12" ht="17.55" hidden="1" customHeight="1" x14ac:dyDescent="0.3">
      <c r="A18" s="119" t="s">
        <v>124</v>
      </c>
      <c r="B18" s="3"/>
      <c r="C18" s="3"/>
      <c r="D18" s="3"/>
      <c r="E18" s="3"/>
      <c r="F18" s="3"/>
      <c r="G18" s="3"/>
      <c r="H18" s="3"/>
      <c r="I18" s="3"/>
      <c r="J18" s="3"/>
      <c r="K18" s="3"/>
      <c r="L18" s="3"/>
    </row>
    <row r="19" spans="1:12" ht="2.4" customHeight="1" x14ac:dyDescent="0.3">
      <c r="A19" s="3"/>
      <c r="B19" s="3"/>
      <c r="C19" s="3"/>
      <c r="D19" s="3"/>
      <c r="E19" s="3"/>
      <c r="F19" s="3"/>
      <c r="G19" s="3"/>
      <c r="H19" s="3"/>
      <c r="I19" s="3"/>
      <c r="J19" s="3"/>
      <c r="K19" s="3"/>
      <c r="L19" s="3"/>
    </row>
    <row r="20" spans="1:12" x14ac:dyDescent="0.3">
      <c r="A20" s="124" t="s">
        <v>63</v>
      </c>
      <c r="B20" s="3"/>
      <c r="C20" s="3"/>
      <c r="D20" s="3"/>
      <c r="E20" s="3"/>
      <c r="F20" s="3"/>
      <c r="G20" s="3"/>
      <c r="H20" s="3"/>
      <c r="I20" s="3"/>
      <c r="J20" s="3"/>
      <c r="K20" s="3"/>
      <c r="L20" s="3"/>
    </row>
    <row r="21" spans="1:12" ht="18" customHeight="1" x14ac:dyDescent="0.3">
      <c r="A21" s="119" t="s">
        <v>324</v>
      </c>
      <c r="B21" s="3"/>
      <c r="C21" s="3"/>
      <c r="D21" s="3"/>
      <c r="E21" s="3"/>
      <c r="F21" s="3"/>
      <c r="G21" s="3"/>
      <c r="H21" s="3"/>
      <c r="I21" s="3"/>
      <c r="J21" s="3"/>
      <c r="K21" s="3"/>
      <c r="L21" s="3"/>
    </row>
    <row r="22" spans="1:12" x14ac:dyDescent="0.3">
      <c r="A22" s="3"/>
      <c r="B22" s="3"/>
      <c r="C22" s="3"/>
      <c r="D22" s="3"/>
      <c r="E22" s="3"/>
      <c r="F22" s="3"/>
      <c r="G22" s="3"/>
      <c r="H22" s="3"/>
      <c r="I22" s="3"/>
      <c r="J22" s="3"/>
      <c r="K22" s="3"/>
      <c r="L22" s="3"/>
    </row>
    <row r="23" spans="1:12" x14ac:dyDescent="0.3">
      <c r="A23" s="124" t="s">
        <v>178</v>
      </c>
      <c r="B23" s="3"/>
      <c r="C23" s="3"/>
      <c r="D23" s="3"/>
      <c r="E23" s="3"/>
      <c r="F23" s="3"/>
      <c r="G23" s="3"/>
      <c r="H23" s="3"/>
      <c r="I23" s="3"/>
      <c r="J23" s="3"/>
      <c r="K23" s="3"/>
      <c r="L23" s="3"/>
    </row>
    <row r="24" spans="1:12" ht="16.8" customHeight="1" x14ac:dyDescent="0.3">
      <c r="A24" s="119" t="s">
        <v>177</v>
      </c>
      <c r="B24" s="3"/>
      <c r="C24" s="3"/>
      <c r="D24" s="3"/>
      <c r="E24" s="3"/>
      <c r="F24" s="3"/>
      <c r="G24" s="3"/>
      <c r="H24" s="3"/>
      <c r="I24" s="3"/>
      <c r="J24" s="3"/>
      <c r="K24" s="3"/>
      <c r="L24" s="3"/>
    </row>
    <row r="25" spans="1:12" x14ac:dyDescent="0.3">
      <c r="A25" s="119" t="s">
        <v>176</v>
      </c>
      <c r="B25" s="3"/>
      <c r="C25" s="3"/>
      <c r="D25" s="3"/>
      <c r="E25" s="3"/>
      <c r="F25" s="3"/>
      <c r="G25" s="3"/>
      <c r="H25" s="3"/>
      <c r="I25" s="3"/>
      <c r="J25" s="3"/>
      <c r="K25" s="3"/>
      <c r="L25" s="3"/>
    </row>
    <row r="26" spans="1:12" ht="7.2" customHeight="1" x14ac:dyDescent="0.3">
      <c r="A26" s="3"/>
      <c r="B26" s="3"/>
      <c r="C26" s="3"/>
      <c r="D26" s="3"/>
      <c r="E26" s="3"/>
      <c r="F26" s="3"/>
      <c r="G26" s="3"/>
      <c r="H26" s="3"/>
      <c r="I26" s="3"/>
      <c r="J26" s="3"/>
      <c r="K26" s="3"/>
      <c r="L26" s="3"/>
    </row>
    <row r="27" spans="1:12" x14ac:dyDescent="0.3">
      <c r="A27" s="273" t="s">
        <v>327</v>
      </c>
      <c r="B27" s="3"/>
      <c r="C27" s="3"/>
      <c r="D27" s="3"/>
      <c r="E27" s="3"/>
      <c r="F27" s="3"/>
      <c r="G27" s="3"/>
      <c r="H27" s="3"/>
      <c r="I27" s="3"/>
      <c r="J27" s="3"/>
      <c r="K27" s="3"/>
      <c r="L27" s="3"/>
    </row>
    <row r="28" spans="1:12" x14ac:dyDescent="0.3">
      <c r="A28" s="3"/>
      <c r="B28" s="3"/>
      <c r="C28" s="3"/>
      <c r="D28" s="3"/>
      <c r="E28" s="3"/>
      <c r="F28" s="3"/>
      <c r="G28" s="3"/>
      <c r="H28" s="3"/>
      <c r="I28" s="3"/>
      <c r="J28" s="3"/>
      <c r="K28" s="3"/>
      <c r="L28" s="3"/>
    </row>
    <row r="29" spans="1:12" x14ac:dyDescent="0.3">
      <c r="A29" s="3"/>
      <c r="B29" s="3"/>
      <c r="C29" s="3"/>
      <c r="D29" s="3"/>
      <c r="E29" s="3"/>
      <c r="F29" s="3"/>
      <c r="G29" s="3"/>
      <c r="H29" s="3"/>
      <c r="I29" s="3"/>
      <c r="J29" s="3"/>
      <c r="K29" s="3"/>
      <c r="L29" s="3"/>
    </row>
    <row r="30" spans="1:12" x14ac:dyDescent="0.3">
      <c r="A30" s="3"/>
      <c r="B30" s="3"/>
      <c r="C30" s="3"/>
      <c r="D30" s="3"/>
      <c r="E30" s="3"/>
      <c r="F30" s="3"/>
      <c r="G30" s="3"/>
      <c r="H30" s="3"/>
      <c r="I30" s="3"/>
      <c r="J30" s="3"/>
      <c r="K30" s="3"/>
      <c r="L30" s="3"/>
    </row>
    <row r="31" spans="1:12" x14ac:dyDescent="0.3">
      <c r="A31" s="3"/>
      <c r="B31" s="3"/>
      <c r="C31" s="3"/>
      <c r="D31" s="3"/>
      <c r="E31" s="3"/>
      <c r="F31" s="3"/>
      <c r="G31" s="3"/>
      <c r="H31" s="3"/>
      <c r="I31" s="3"/>
      <c r="J31" s="3"/>
      <c r="K31" s="3"/>
      <c r="L31" s="3"/>
    </row>
    <row r="32" spans="1:12" x14ac:dyDescent="0.3">
      <c r="A32" s="3"/>
      <c r="B32" s="3"/>
      <c r="C32" s="3"/>
      <c r="D32" s="3"/>
      <c r="E32" s="3"/>
      <c r="F32" s="3"/>
      <c r="G32" s="3"/>
      <c r="H32" s="3"/>
      <c r="I32" s="3"/>
      <c r="J32" s="3"/>
      <c r="K32" s="3"/>
      <c r="L32" s="3"/>
    </row>
    <row r="33" spans="1:12" x14ac:dyDescent="0.3">
      <c r="A33" s="3"/>
      <c r="B33" s="3"/>
      <c r="C33" s="3"/>
      <c r="D33" s="3"/>
      <c r="E33" s="3"/>
      <c r="F33" s="3"/>
      <c r="G33" s="3"/>
      <c r="H33" s="3"/>
      <c r="I33" s="3"/>
      <c r="J33" s="3"/>
      <c r="K33" s="3"/>
      <c r="L33" s="3"/>
    </row>
    <row r="34" spans="1:12" x14ac:dyDescent="0.3">
      <c r="A34" s="3"/>
      <c r="B34" s="3"/>
      <c r="C34" s="3"/>
      <c r="D34" s="3"/>
      <c r="E34" s="3"/>
      <c r="F34" s="3"/>
      <c r="G34" s="3"/>
      <c r="H34" s="3"/>
      <c r="I34" s="3"/>
      <c r="J34" s="3"/>
      <c r="K34" s="3"/>
      <c r="L34" s="3"/>
    </row>
    <row r="35" spans="1:12" x14ac:dyDescent="0.3">
      <c r="A35" s="3"/>
      <c r="B35" s="3"/>
      <c r="C35" s="3"/>
      <c r="D35" s="3"/>
      <c r="E35" s="3"/>
      <c r="F35" s="3"/>
      <c r="G35" s="3"/>
      <c r="H35" s="3"/>
      <c r="I35" s="3"/>
      <c r="J35" s="3"/>
      <c r="K35" s="3"/>
      <c r="L35" s="3"/>
    </row>
    <row r="36" spans="1:12" x14ac:dyDescent="0.3">
      <c r="A36" s="3"/>
      <c r="B36" s="3"/>
      <c r="C36" s="3"/>
      <c r="D36" s="3"/>
      <c r="E36" s="3"/>
      <c r="F36" s="3"/>
      <c r="G36" s="3"/>
      <c r="H36" s="3"/>
      <c r="I36" s="3"/>
      <c r="J36" s="3"/>
      <c r="K36" s="3"/>
      <c r="L36" s="3"/>
    </row>
    <row r="37" spans="1:12" x14ac:dyDescent="0.3">
      <c r="A37" s="3"/>
      <c r="B37" s="3"/>
      <c r="C37" s="3"/>
      <c r="D37" s="3"/>
      <c r="E37" s="3"/>
      <c r="F37" s="3"/>
      <c r="G37" s="3"/>
      <c r="H37" s="3"/>
      <c r="I37" s="3"/>
      <c r="J37" s="3"/>
      <c r="K37" s="3"/>
      <c r="L37" s="3"/>
    </row>
    <row r="38" spans="1:12" x14ac:dyDescent="0.3">
      <c r="A38" s="3"/>
      <c r="B38" s="3"/>
      <c r="C38" s="3"/>
      <c r="D38" s="3"/>
      <c r="E38" s="3"/>
      <c r="F38" s="3"/>
      <c r="G38" s="3"/>
      <c r="H38" s="3"/>
      <c r="I38" s="3"/>
      <c r="J38" s="3"/>
      <c r="K38" s="3"/>
      <c r="L38" s="3"/>
    </row>
    <row r="39" spans="1:12" x14ac:dyDescent="0.3">
      <c r="A39" s="3"/>
      <c r="B39" s="3"/>
      <c r="C39" s="3"/>
      <c r="D39" s="3"/>
      <c r="E39" s="3"/>
      <c r="F39" s="3"/>
      <c r="G39" s="3"/>
      <c r="H39" s="3"/>
      <c r="I39" s="3"/>
      <c r="J39" s="3"/>
      <c r="K39" s="3"/>
      <c r="L39" s="3"/>
    </row>
    <row r="40" spans="1:12" x14ac:dyDescent="0.3">
      <c r="A40" s="3"/>
      <c r="B40" s="3"/>
      <c r="C40" s="3"/>
      <c r="D40" s="3"/>
      <c r="E40" s="3"/>
      <c r="F40" s="3"/>
      <c r="G40" s="3"/>
      <c r="H40" s="3"/>
      <c r="I40" s="3"/>
      <c r="J40" s="3"/>
      <c r="K40" s="3"/>
      <c r="L40" s="3"/>
    </row>
    <row r="41" spans="1:12" x14ac:dyDescent="0.3">
      <c r="A41" s="3"/>
      <c r="B41" s="3"/>
      <c r="C41" s="3"/>
      <c r="D41" s="3"/>
      <c r="E41" s="3"/>
      <c r="F41" s="3"/>
      <c r="G41" s="3"/>
      <c r="H41" s="3"/>
      <c r="I41" s="3"/>
      <c r="J41" s="3"/>
      <c r="K41" s="3"/>
      <c r="L41" s="3"/>
    </row>
    <row r="42" spans="1:12" x14ac:dyDescent="0.3">
      <c r="A42" s="3"/>
      <c r="B42" s="3"/>
      <c r="C42" s="3"/>
      <c r="D42" s="3"/>
      <c r="E42" s="3"/>
      <c r="F42" s="3"/>
      <c r="G42" s="3"/>
      <c r="H42" s="3"/>
      <c r="I42" s="3"/>
      <c r="J42" s="3"/>
      <c r="K42" s="3"/>
      <c r="L42" s="3"/>
    </row>
    <row r="43" spans="1:12" x14ac:dyDescent="0.3">
      <c r="A43" s="3"/>
      <c r="B43" s="3"/>
      <c r="C43" s="3"/>
      <c r="D43" s="3"/>
      <c r="E43" s="3"/>
      <c r="F43" s="3"/>
      <c r="G43" s="3"/>
      <c r="H43" s="3"/>
      <c r="I43" s="3"/>
      <c r="J43" s="3"/>
      <c r="K43" s="3"/>
      <c r="L43" s="3"/>
    </row>
    <row r="44" spans="1:12" x14ac:dyDescent="0.3">
      <c r="A44" s="3"/>
      <c r="B44" s="3"/>
      <c r="C44" s="3"/>
      <c r="D44" s="3"/>
      <c r="E44" s="3"/>
      <c r="F44" s="3"/>
      <c r="G44" s="3"/>
      <c r="H44" s="3"/>
      <c r="I44" s="3"/>
      <c r="J44" s="3"/>
      <c r="K44" s="3"/>
      <c r="L44" s="3"/>
    </row>
    <row r="45" spans="1:12" x14ac:dyDescent="0.3">
      <c r="A45" s="3"/>
      <c r="B45" s="3"/>
      <c r="C45" s="3"/>
      <c r="D45" s="3"/>
      <c r="E45" s="3"/>
      <c r="F45" s="3"/>
      <c r="G45" s="3"/>
      <c r="H45" s="3"/>
      <c r="I45" s="3"/>
      <c r="J45" s="3"/>
      <c r="K45" s="3"/>
      <c r="L45" s="3"/>
    </row>
    <row r="46" spans="1:12" x14ac:dyDescent="0.3">
      <c r="A46" s="3"/>
      <c r="B46" s="3"/>
      <c r="C46" s="3"/>
      <c r="D46" s="3"/>
      <c r="E46" s="3"/>
      <c r="F46" s="3"/>
      <c r="G46" s="3"/>
      <c r="H46" s="3"/>
      <c r="I46" s="3"/>
      <c r="J46" s="3"/>
      <c r="K46" s="3"/>
      <c r="L46" s="3"/>
    </row>
    <row r="47" spans="1:12" x14ac:dyDescent="0.3">
      <c r="A47" s="3"/>
      <c r="B47" s="3"/>
      <c r="C47" s="3"/>
      <c r="D47" s="3"/>
      <c r="E47" s="3"/>
      <c r="F47" s="3"/>
      <c r="G47" s="3"/>
      <c r="H47" s="3"/>
      <c r="I47" s="3"/>
      <c r="J47" s="3"/>
      <c r="K47" s="3"/>
      <c r="L47" s="3"/>
    </row>
    <row r="48" spans="1:12" x14ac:dyDescent="0.3">
      <c r="A48" s="3"/>
      <c r="B48" s="3"/>
      <c r="C48" s="3"/>
      <c r="D48" s="3"/>
      <c r="E48" s="3"/>
      <c r="F48" s="3"/>
      <c r="G48" s="3"/>
      <c r="H48" s="3"/>
      <c r="I48" s="3"/>
      <c r="J48" s="3"/>
      <c r="K48" s="3"/>
      <c r="L48" s="3"/>
    </row>
    <row r="49" spans="1:12" x14ac:dyDescent="0.3">
      <c r="A49" s="3"/>
      <c r="B49" s="3"/>
      <c r="C49" s="3"/>
      <c r="D49" s="3"/>
      <c r="E49" s="3"/>
      <c r="F49" s="3"/>
      <c r="G49" s="3"/>
      <c r="H49" s="3"/>
      <c r="I49" s="3"/>
      <c r="J49" s="3"/>
      <c r="K49" s="3"/>
      <c r="L49" s="3"/>
    </row>
    <row r="50" spans="1:12" x14ac:dyDescent="0.3">
      <c r="A50" s="3"/>
      <c r="B50" s="3"/>
      <c r="C50" s="3"/>
      <c r="D50" s="3"/>
      <c r="E50" s="3"/>
      <c r="F50" s="3"/>
      <c r="G50" s="3"/>
      <c r="H50" s="3"/>
      <c r="I50" s="3"/>
      <c r="J50" s="3"/>
      <c r="K50" s="3"/>
      <c r="L50" s="3"/>
    </row>
    <row r="51" spans="1:12" x14ac:dyDescent="0.3">
      <c r="A51" s="3"/>
      <c r="B51" s="3"/>
      <c r="C51" s="3"/>
      <c r="D51" s="3"/>
      <c r="E51" s="3"/>
      <c r="F51" s="3"/>
      <c r="G51" s="3"/>
      <c r="H51" s="3"/>
      <c r="I51" s="3"/>
      <c r="J51" s="3"/>
      <c r="K51" s="3"/>
      <c r="L51" s="3"/>
    </row>
    <row r="52" spans="1:12" x14ac:dyDescent="0.3">
      <c r="A52" s="3"/>
      <c r="B52" s="3"/>
      <c r="C52" s="3"/>
      <c r="D52" s="3"/>
      <c r="E52" s="3"/>
      <c r="F52" s="3"/>
      <c r="G52" s="3"/>
      <c r="H52" s="3"/>
      <c r="I52" s="3"/>
      <c r="J52" s="3"/>
      <c r="K52" s="3"/>
      <c r="L52" s="3"/>
    </row>
    <row r="53" spans="1:12" x14ac:dyDescent="0.3">
      <c r="A53" s="3"/>
      <c r="B53" s="3"/>
      <c r="C53" s="3"/>
      <c r="D53" s="3"/>
      <c r="E53" s="3"/>
      <c r="F53" s="3"/>
      <c r="G53" s="3"/>
      <c r="H53" s="3"/>
      <c r="I53" s="3"/>
      <c r="J53" s="3"/>
      <c r="K53" s="3"/>
      <c r="L53" s="3"/>
    </row>
    <row r="54" spans="1:12" x14ac:dyDescent="0.3">
      <c r="A54" s="3"/>
      <c r="B54" s="3"/>
      <c r="C54" s="3"/>
      <c r="D54" s="3"/>
      <c r="E54" s="3"/>
      <c r="F54" s="3"/>
      <c r="G54" s="3"/>
      <c r="H54" s="3"/>
      <c r="I54" s="3"/>
      <c r="J54" s="3"/>
      <c r="K54" s="3"/>
      <c r="L54" s="3"/>
    </row>
    <row r="55" spans="1:12" x14ac:dyDescent="0.3">
      <c r="A55" s="3"/>
      <c r="B55" s="3"/>
      <c r="C55" s="3"/>
      <c r="D55" s="3"/>
      <c r="E55" s="3"/>
      <c r="F55" s="3"/>
      <c r="G55" s="3"/>
      <c r="H55" s="3"/>
      <c r="I55" s="3"/>
      <c r="J55" s="3"/>
      <c r="K55" s="3"/>
      <c r="L55" s="3"/>
    </row>
    <row r="56" spans="1:12" x14ac:dyDescent="0.3">
      <c r="A56" s="3"/>
      <c r="B56" s="3"/>
      <c r="C56" s="3"/>
      <c r="D56" s="3"/>
      <c r="E56" s="3"/>
      <c r="F56" s="3"/>
      <c r="G56" s="3"/>
      <c r="H56" s="3"/>
      <c r="I56" s="3"/>
      <c r="J56" s="3"/>
      <c r="K56" s="3"/>
      <c r="L56" s="3"/>
    </row>
  </sheetData>
  <sheetProtection algorithmName="SHA-512" hashValue="M9CvWU2LmiVmT1eL4G0U1Vcx7puLtbo0KFBrUabTRa4awYH//8Tlz9sbZvsD0YcDSqQZZ825KahnS8ZmMDoPVA==" saltValue="gBdN8Ou1q4RQ6F8obay7TA==" spinCount="100000" sheet="1" selectLockedCells="1" selectUnlockedCells="1"/>
  <pageMargins left="0.7" right="0.7" top="0.75" bottom="0.75" header="0.3" footer="0.3"/>
  <pageSetup scale="6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9" tint="-0.249977111117893"/>
    <pageSetUpPr fitToPage="1"/>
  </sheetPr>
  <dimension ref="A1:AF35"/>
  <sheetViews>
    <sheetView workbookViewId="0">
      <pane xSplit="4" ySplit="7" topLeftCell="AG8" activePane="bottomRight" state="frozen"/>
      <selection activeCell="A25" sqref="A25:C25"/>
      <selection pane="topRight" activeCell="A25" sqref="A25:C25"/>
      <selection pane="bottomLeft" activeCell="A25" sqref="A25:C25"/>
      <selection pane="bottomRight" activeCell="AF1" sqref="A1:AF1048576"/>
    </sheetView>
  </sheetViews>
  <sheetFormatPr defaultColWidth="10.5546875" defaultRowHeight="14.4" x14ac:dyDescent="0.3"/>
  <cols>
    <col min="1" max="1" width="0" hidden="1" customWidth="1"/>
    <col min="2" max="2" width="0" style="8" hidden="1" customWidth="1"/>
    <col min="3" max="3" width="0" style="285" hidden="1" customWidth="1"/>
    <col min="4" max="5" width="0" style="24" hidden="1" customWidth="1"/>
    <col min="6" max="11" width="0" style="27" hidden="1" customWidth="1"/>
    <col min="12" max="13" width="0" style="24" hidden="1" customWidth="1"/>
    <col min="14" max="18" width="0" hidden="1" customWidth="1"/>
    <col min="19" max="20" width="0" style="8" hidden="1" customWidth="1"/>
    <col min="21" max="32" width="0" hidden="1" customWidth="1"/>
  </cols>
  <sheetData>
    <row r="1" spans="1:32" ht="12" customHeight="1" x14ac:dyDescent="0.3">
      <c r="A1" s="694" t="s">
        <v>103</v>
      </c>
      <c r="B1" s="694"/>
      <c r="C1" s="694"/>
      <c r="D1" s="694"/>
      <c r="E1" s="36"/>
      <c r="L1" s="29"/>
      <c r="M1" s="26">
        <v>1</v>
      </c>
      <c r="N1" s="26" t="s">
        <v>79</v>
      </c>
      <c r="O1" s="26" t="s">
        <v>77</v>
      </c>
      <c r="P1" s="26" t="s">
        <v>79</v>
      </c>
      <c r="Q1" s="8">
        <v>1</v>
      </c>
      <c r="R1" s="28"/>
      <c r="S1" s="26" t="s">
        <v>83</v>
      </c>
      <c r="T1" s="8">
        <v>3</v>
      </c>
      <c r="U1">
        <v>4</v>
      </c>
      <c r="W1" t="s">
        <v>48</v>
      </c>
      <c r="X1" s="10" t="str">
        <f>IF(K4=0,"",IF(K4&lt;3,"Tier 1",IF(K4&lt;5,"Tier 2",IF(K4&lt;7,"Tier 3",IF(K4&lt;9,"Tier 4",IF(K4&lt;12,"Tier 5","Tier 6"))))))</f>
        <v/>
      </c>
      <c r="Y1" s="64" t="str">
        <f>IF(X1="","",IF(AC1="Non-Industry",VLOOKUP(X1,AC11:AD16,2,FALSE)*'Cover Sheet &amp; Medications'!E12,IF(AC1="Industry",VLOOKUP(X1,AC11:AE16,3,FALSE)*'Cover Sheet &amp; Medications'!E12,IF(AC1="External",VLOOKUP(X1,AC11:AF16,4,FALSE)*'Cover Sheet &amp; Medications'!E12,0))))</f>
        <v/>
      </c>
      <c r="AC1" s="39">
        <f>'Estimate Details'!C1</f>
        <v>0</v>
      </c>
    </row>
    <row r="2" spans="1:32" ht="9.4499999999999993" customHeight="1" x14ac:dyDescent="0.3">
      <c r="A2" s="695"/>
      <c r="B2" s="695"/>
      <c r="C2" s="695"/>
      <c r="D2" s="695"/>
      <c r="E2" s="36"/>
      <c r="L2" s="29"/>
      <c r="M2" s="26">
        <v>2</v>
      </c>
      <c r="N2" s="26" t="s">
        <v>80</v>
      </c>
      <c r="O2" s="26" t="s">
        <v>85</v>
      </c>
      <c r="P2" s="26" t="s">
        <v>77</v>
      </c>
      <c r="Q2" s="8">
        <v>2</v>
      </c>
      <c r="R2" s="28"/>
      <c r="S2" s="26" t="s">
        <v>84</v>
      </c>
      <c r="T2" s="8">
        <v>5</v>
      </c>
      <c r="U2">
        <v>6</v>
      </c>
      <c r="W2" t="s">
        <v>49</v>
      </c>
    </row>
    <row r="3" spans="1:32" ht="28.2" customHeight="1" x14ac:dyDescent="0.3">
      <c r="A3" s="44" t="s">
        <v>75</v>
      </c>
      <c r="B3" s="44" t="s">
        <v>76</v>
      </c>
      <c r="C3" s="290" t="s">
        <v>190</v>
      </c>
      <c r="D3" s="45" t="s">
        <v>78</v>
      </c>
      <c r="E3" s="34"/>
      <c r="F3" s="31"/>
      <c r="G3" s="31"/>
      <c r="H3" s="2"/>
      <c r="I3" s="2"/>
      <c r="J3" s="2"/>
      <c r="K3" s="2"/>
      <c r="L3" s="28"/>
      <c r="M3" s="26">
        <v>3</v>
      </c>
      <c r="N3" s="8" t="s">
        <v>81</v>
      </c>
      <c r="O3" s="8" t="s">
        <v>82</v>
      </c>
      <c r="P3" s="8" t="s">
        <v>81</v>
      </c>
      <c r="Q3" s="8">
        <v>3</v>
      </c>
      <c r="R3" s="28"/>
      <c r="S3" s="8" t="s">
        <v>86</v>
      </c>
      <c r="T3" s="8">
        <v>7</v>
      </c>
      <c r="U3">
        <v>8</v>
      </c>
      <c r="AD3" s="39"/>
      <c r="AE3" s="26"/>
      <c r="AF3" s="26"/>
    </row>
    <row r="4" spans="1:32" ht="21" customHeight="1" x14ac:dyDescent="0.3">
      <c r="A4" s="121"/>
      <c r="B4" s="122"/>
      <c r="C4" s="122"/>
      <c r="D4" s="121"/>
      <c r="E4" s="37"/>
      <c r="F4" s="2" t="str">
        <f>IF(A4="","",A4)</f>
        <v/>
      </c>
      <c r="G4" s="2">
        <v>0</v>
      </c>
      <c r="H4" s="2">
        <f>IF(B4="",0,IF(B4="Minimal",1,IF(B4="Intensive",4,3)))</f>
        <v>0</v>
      </c>
      <c r="I4" s="2">
        <f>IF(C4="Yes",1,0)</f>
        <v>0</v>
      </c>
      <c r="J4" s="2">
        <f>IF(D4="",0,IF(D4=1,1,D4*2))</f>
        <v>0</v>
      </c>
      <c r="K4" s="314">
        <f>SUM('Initiation &amp; Maintenance'!H26:H37)</f>
        <v>0</v>
      </c>
      <c r="L4" s="28"/>
      <c r="M4" s="26">
        <v>4</v>
      </c>
      <c r="N4" s="8"/>
      <c r="O4" s="26"/>
      <c r="P4" s="8"/>
      <c r="Q4" s="8">
        <v>4</v>
      </c>
      <c r="R4" s="28"/>
      <c r="S4" s="8" t="s">
        <v>87</v>
      </c>
      <c r="T4" s="8">
        <v>9</v>
      </c>
      <c r="U4">
        <v>10</v>
      </c>
    </row>
    <row r="5" spans="1:32" ht="26.4" hidden="1" customHeight="1" x14ac:dyDescent="0.3">
      <c r="A5" s="40"/>
      <c r="B5" s="41"/>
      <c r="C5" s="41"/>
      <c r="D5" s="40"/>
      <c r="E5" s="37"/>
      <c r="F5" s="2"/>
      <c r="G5" s="2"/>
      <c r="H5" s="2"/>
      <c r="I5" s="2"/>
      <c r="J5" s="2"/>
      <c r="K5" s="2"/>
      <c r="L5" s="28"/>
      <c r="M5" s="26">
        <v>5</v>
      </c>
      <c r="N5" s="8"/>
      <c r="O5" s="8"/>
      <c r="P5" s="8"/>
      <c r="Q5" s="8">
        <v>5</v>
      </c>
      <c r="R5" s="28"/>
      <c r="S5" s="8" t="s">
        <v>88</v>
      </c>
      <c r="T5" s="8">
        <v>11</v>
      </c>
    </row>
    <row r="6" spans="1:32" ht="25.8" customHeight="1" x14ac:dyDescent="0.3">
      <c r="A6" s="696" t="s">
        <v>104</v>
      </c>
      <c r="B6" s="697"/>
      <c r="C6" s="697"/>
      <c r="D6" s="697"/>
      <c r="E6" s="37"/>
      <c r="F6" s="2"/>
      <c r="G6" s="2"/>
      <c r="H6" s="2"/>
      <c r="I6" s="2"/>
      <c r="J6" s="2"/>
      <c r="K6" s="2"/>
      <c r="L6" s="28"/>
      <c r="M6" s="26">
        <v>6</v>
      </c>
      <c r="N6" s="8"/>
      <c r="O6" s="8"/>
      <c r="P6" s="8"/>
      <c r="Q6" s="8">
        <v>6</v>
      </c>
      <c r="R6" s="28"/>
      <c r="S6" s="8" t="s">
        <v>88</v>
      </c>
      <c r="T6" s="8">
        <v>11</v>
      </c>
      <c r="U6">
        <v>13</v>
      </c>
    </row>
    <row r="7" spans="1:32" ht="25.8" customHeight="1" thickBot="1" x14ac:dyDescent="0.35">
      <c r="A7" s="698"/>
      <c r="B7" s="698"/>
      <c r="C7" s="698"/>
      <c r="D7" s="698"/>
      <c r="E7" s="37"/>
      <c r="F7" s="2"/>
      <c r="G7" s="2"/>
      <c r="H7" s="2"/>
      <c r="I7" s="2"/>
      <c r="J7" s="2"/>
      <c r="K7" s="2"/>
      <c r="L7" s="28"/>
      <c r="M7" s="26">
        <v>7</v>
      </c>
      <c r="N7" s="8"/>
      <c r="O7" s="8"/>
      <c r="P7" s="8"/>
      <c r="Q7" s="8">
        <v>7</v>
      </c>
      <c r="R7" s="28"/>
      <c r="S7" s="8" t="s">
        <v>89</v>
      </c>
      <c r="T7" s="8">
        <v>14</v>
      </c>
    </row>
    <row r="8" spans="1:32" ht="20.55" customHeight="1" x14ac:dyDescent="0.3">
      <c r="A8" s="46" t="s">
        <v>75</v>
      </c>
      <c r="B8" s="42"/>
      <c r="C8" s="289"/>
      <c r="D8" s="40"/>
      <c r="E8" s="37"/>
      <c r="F8" s="2"/>
      <c r="G8" s="2"/>
      <c r="H8" s="2"/>
      <c r="I8" s="2"/>
      <c r="J8" s="2"/>
      <c r="K8" s="2"/>
      <c r="L8" s="28"/>
      <c r="M8" s="26">
        <v>8</v>
      </c>
      <c r="N8" s="8"/>
      <c r="O8" s="8"/>
      <c r="P8" s="8"/>
      <c r="Q8" s="8">
        <v>8</v>
      </c>
      <c r="R8" s="28"/>
      <c r="S8" s="10"/>
    </row>
    <row r="9" spans="1:32" ht="30" customHeight="1" x14ac:dyDescent="0.3">
      <c r="A9" s="692" t="s">
        <v>189</v>
      </c>
      <c r="B9" s="693"/>
      <c r="C9" s="693"/>
      <c r="D9" s="693"/>
      <c r="E9" s="37"/>
      <c r="F9" s="2"/>
      <c r="G9" s="2"/>
      <c r="H9" s="2"/>
      <c r="I9" s="2"/>
      <c r="J9" s="2"/>
      <c r="K9" s="2"/>
      <c r="L9" s="28"/>
      <c r="M9" s="26">
        <v>9</v>
      </c>
      <c r="N9" s="8"/>
      <c r="O9" s="8"/>
      <c r="P9" s="8"/>
      <c r="Q9" s="8">
        <v>9</v>
      </c>
      <c r="R9" s="28"/>
    </row>
    <row r="10" spans="1:32" ht="15.45" customHeight="1" x14ac:dyDescent="0.3">
      <c r="A10" s="47" t="s">
        <v>76</v>
      </c>
      <c r="B10" s="3"/>
      <c r="C10" s="3"/>
      <c r="D10" s="43"/>
      <c r="E10" s="37"/>
      <c r="F10" s="2"/>
      <c r="G10" s="2"/>
      <c r="H10" s="2"/>
      <c r="I10" s="2"/>
      <c r="J10" s="2"/>
      <c r="K10" s="2"/>
      <c r="L10" s="28"/>
      <c r="M10" s="26">
        <v>10</v>
      </c>
      <c r="N10" s="8"/>
      <c r="O10" s="8"/>
      <c r="P10" s="8"/>
      <c r="Q10" s="8">
        <v>10</v>
      </c>
      <c r="R10" s="28"/>
      <c r="AD10" s="39" t="s">
        <v>137</v>
      </c>
      <c r="AE10" s="26" t="s">
        <v>138</v>
      </c>
      <c r="AF10" s="26" t="s">
        <v>139</v>
      </c>
    </row>
    <row r="11" spans="1:32" ht="28.8" customHeight="1" x14ac:dyDescent="0.3">
      <c r="A11" s="699" t="s">
        <v>180</v>
      </c>
      <c r="B11" s="699"/>
      <c r="C11" s="699"/>
      <c r="D11" s="699"/>
      <c r="E11" s="37"/>
      <c r="F11" s="2"/>
      <c r="G11" s="2"/>
      <c r="H11" s="2"/>
      <c r="I11" s="2"/>
      <c r="J11" s="2"/>
      <c r="K11" s="2"/>
      <c r="L11" s="30"/>
      <c r="M11" s="26">
        <v>11</v>
      </c>
      <c r="N11" s="8"/>
      <c r="O11" s="8"/>
      <c r="P11" s="8"/>
      <c r="Q11" s="8"/>
      <c r="R11" s="28"/>
      <c r="AC11" t="s">
        <v>83</v>
      </c>
      <c r="AD11" s="25">
        <v>362</v>
      </c>
      <c r="AE11" s="25">
        <v>598</v>
      </c>
      <c r="AF11" s="25">
        <v>659</v>
      </c>
    </row>
    <row r="12" spans="1:32" x14ac:dyDescent="0.3">
      <c r="A12" s="690" t="s">
        <v>181</v>
      </c>
      <c r="B12" s="690"/>
      <c r="C12" s="690"/>
      <c r="D12" s="690"/>
      <c r="E12" s="37"/>
      <c r="F12" s="2"/>
      <c r="G12" s="2"/>
      <c r="H12" s="2"/>
      <c r="I12" s="2"/>
      <c r="J12" s="2"/>
      <c r="K12" s="2"/>
      <c r="L12" s="30"/>
      <c r="M12" s="26">
        <v>12</v>
      </c>
      <c r="N12" s="8"/>
      <c r="O12" s="8"/>
      <c r="P12" s="8"/>
      <c r="Q12" s="8"/>
      <c r="R12" s="28"/>
      <c r="AC12" t="s">
        <v>84</v>
      </c>
      <c r="AD12" s="25">
        <v>702</v>
      </c>
      <c r="AE12" s="25">
        <v>1162</v>
      </c>
      <c r="AF12" s="25">
        <v>1277</v>
      </c>
    </row>
    <row r="13" spans="1:32" ht="27" customHeight="1" x14ac:dyDescent="0.3">
      <c r="A13" s="690" t="s">
        <v>182</v>
      </c>
      <c r="B13" s="690"/>
      <c r="C13" s="690"/>
      <c r="D13" s="690"/>
      <c r="E13" s="37"/>
      <c r="F13" s="2"/>
      <c r="G13" s="2"/>
      <c r="H13" s="2"/>
      <c r="I13" s="2"/>
      <c r="J13" s="2"/>
      <c r="K13" s="2"/>
      <c r="L13" s="30"/>
      <c r="M13" s="26">
        <v>13</v>
      </c>
      <c r="N13" s="8"/>
      <c r="O13" s="8"/>
      <c r="P13" s="8"/>
      <c r="Q13" s="8"/>
      <c r="R13" s="28"/>
      <c r="AC13" t="s">
        <v>86</v>
      </c>
      <c r="AD13" s="25">
        <v>838</v>
      </c>
      <c r="AE13" s="25">
        <v>1387</v>
      </c>
      <c r="AF13" s="25">
        <v>1526</v>
      </c>
    </row>
    <row r="14" spans="1:32" ht="15.45" customHeight="1" x14ac:dyDescent="0.3">
      <c r="A14" s="47" t="s">
        <v>191</v>
      </c>
      <c r="B14" s="286"/>
      <c r="C14" s="286"/>
      <c r="D14" s="286"/>
      <c r="E14" s="38"/>
      <c r="F14" s="32"/>
      <c r="G14" s="32"/>
      <c r="H14" s="2"/>
      <c r="I14" s="2"/>
      <c r="J14" s="2"/>
      <c r="K14" s="2"/>
      <c r="L14" s="28"/>
      <c r="M14" s="26">
        <v>14</v>
      </c>
      <c r="N14" s="8"/>
      <c r="O14" s="8"/>
      <c r="P14" s="8"/>
      <c r="Q14" s="8"/>
      <c r="R14" s="28"/>
      <c r="AC14" t="s">
        <v>87</v>
      </c>
      <c r="AD14" s="25">
        <v>1011</v>
      </c>
      <c r="AE14" s="25">
        <v>1673</v>
      </c>
      <c r="AF14" s="25">
        <v>1840</v>
      </c>
    </row>
    <row r="15" spans="1:32" ht="14.4" customHeight="1" x14ac:dyDescent="0.3">
      <c r="A15" s="700" t="s">
        <v>192</v>
      </c>
      <c r="B15" s="701"/>
      <c r="C15" s="701"/>
      <c r="D15" s="701"/>
      <c r="E15" s="36"/>
      <c r="L15" s="29"/>
      <c r="M15" s="26">
        <v>15</v>
      </c>
      <c r="R15" s="28"/>
      <c r="AC15" t="s">
        <v>88</v>
      </c>
      <c r="AD15" s="25">
        <v>1134</v>
      </c>
      <c r="AE15" s="25">
        <v>1877</v>
      </c>
      <c r="AF15" s="25">
        <v>2064</v>
      </c>
    </row>
    <row r="16" spans="1:32" ht="12" customHeight="1" x14ac:dyDescent="0.3">
      <c r="A16" s="701"/>
      <c r="B16" s="701"/>
      <c r="C16" s="701"/>
      <c r="D16" s="701"/>
      <c r="AC16" t="s">
        <v>89</v>
      </c>
      <c r="AD16" s="25">
        <v>1361</v>
      </c>
      <c r="AE16" s="25">
        <v>2252</v>
      </c>
      <c r="AF16" s="25">
        <v>2476</v>
      </c>
    </row>
    <row r="17" spans="1:4" ht="15.6" x14ac:dyDescent="0.3">
      <c r="A17" s="47" t="s">
        <v>78</v>
      </c>
      <c r="B17" s="89"/>
      <c r="C17" s="284"/>
      <c r="D17" s="90"/>
    </row>
    <row r="18" spans="1:4" ht="15.45" customHeight="1" x14ac:dyDescent="0.3">
      <c r="A18" s="690" t="s">
        <v>102</v>
      </c>
      <c r="B18" s="690"/>
      <c r="C18" s="690"/>
      <c r="D18" s="690"/>
    </row>
    <row r="19" spans="1:4" x14ac:dyDescent="0.3">
      <c r="A19" s="691"/>
      <c r="B19" s="691"/>
      <c r="C19" s="691"/>
      <c r="D19" s="691"/>
    </row>
    <row r="20" spans="1:4" x14ac:dyDescent="0.3">
      <c r="A20" s="3"/>
      <c r="B20" s="89"/>
      <c r="C20" s="284"/>
      <c r="D20" s="90"/>
    </row>
    <row r="21" spans="1:4" x14ac:dyDescent="0.3">
      <c r="A21" s="3"/>
      <c r="B21" s="89"/>
      <c r="C21" s="284"/>
      <c r="D21" s="90"/>
    </row>
    <row r="22" spans="1:4" ht="15.45" customHeight="1" x14ac:dyDescent="0.3">
      <c r="A22" s="3"/>
      <c r="B22" s="89"/>
      <c r="C22" s="284"/>
      <c r="D22" s="90"/>
    </row>
    <row r="23" spans="1:4" x14ac:dyDescent="0.3">
      <c r="A23" s="3"/>
      <c r="B23" s="89"/>
      <c r="C23" s="284"/>
      <c r="D23" s="90"/>
    </row>
    <row r="24" spans="1:4" x14ac:dyDescent="0.3">
      <c r="A24" s="3"/>
      <c r="B24" s="89"/>
      <c r="C24" s="284"/>
      <c r="D24" s="90"/>
    </row>
    <row r="25" spans="1:4" x14ac:dyDescent="0.3">
      <c r="A25" s="3"/>
      <c r="B25" s="89"/>
      <c r="C25" s="284"/>
      <c r="D25" s="90"/>
    </row>
    <row r="26" spans="1:4" x14ac:dyDescent="0.3">
      <c r="A26" s="3"/>
      <c r="B26" s="89"/>
      <c r="C26" s="284"/>
      <c r="D26" s="90"/>
    </row>
    <row r="27" spans="1:4" x14ac:dyDescent="0.3">
      <c r="A27" s="3"/>
      <c r="B27" s="89"/>
      <c r="C27" s="284"/>
      <c r="D27" s="90"/>
    </row>
    <row r="28" spans="1:4" x14ac:dyDescent="0.3">
      <c r="A28" s="3"/>
      <c r="B28" s="89"/>
      <c r="C28" s="284"/>
      <c r="D28" s="90"/>
    </row>
    <row r="29" spans="1:4" x14ac:dyDescent="0.3">
      <c r="A29" s="3"/>
      <c r="B29" s="89"/>
      <c r="C29" s="284"/>
      <c r="D29" s="90"/>
    </row>
    <row r="30" spans="1:4" x14ac:dyDescent="0.3">
      <c r="A30" s="3"/>
      <c r="B30" s="89"/>
      <c r="C30" s="284"/>
      <c r="D30" s="90"/>
    </row>
    <row r="31" spans="1:4" x14ac:dyDescent="0.3">
      <c r="A31" s="3"/>
      <c r="B31" s="89"/>
      <c r="C31" s="284"/>
      <c r="D31" s="90"/>
    </row>
    <row r="32" spans="1:4" x14ac:dyDescent="0.3">
      <c r="A32" s="3"/>
      <c r="B32" s="89"/>
      <c r="C32" s="284"/>
      <c r="D32" s="90"/>
    </row>
    <row r="33" spans="1:4" x14ac:dyDescent="0.3">
      <c r="A33" s="3"/>
      <c r="B33" s="89"/>
      <c r="C33" s="284"/>
      <c r="D33" s="90"/>
    </row>
    <row r="34" spans="1:4" x14ac:dyDescent="0.3">
      <c r="A34" s="3"/>
      <c r="B34" s="89"/>
      <c r="C34" s="284"/>
      <c r="D34" s="90"/>
    </row>
    <row r="35" spans="1:4" x14ac:dyDescent="0.3">
      <c r="A35" s="3"/>
      <c r="B35" s="89"/>
      <c r="C35" s="284"/>
      <c r="D35" s="90"/>
    </row>
  </sheetData>
  <sheetProtection algorithmName="SHA-512" hashValue="GaOFGaI86P1E/y4HAMAjz+EiF2C33KvOgPJJL3EEQGjmDV9HojseCdHXDZbuZNTHQt134Clf7o4gI79wgZeiqg==" saltValue="REdykVQ7bD9jc5TBSlgtHA==" spinCount="100000" sheet="1" selectLockedCells="1"/>
  <mergeCells count="8">
    <mergeCell ref="A13:D13"/>
    <mergeCell ref="A18:D19"/>
    <mergeCell ref="A9:D9"/>
    <mergeCell ref="A1:D2"/>
    <mergeCell ref="A6:D7"/>
    <mergeCell ref="A11:D11"/>
    <mergeCell ref="A12:D12"/>
    <mergeCell ref="A15:D16"/>
  </mergeCells>
  <dataValidations count="4">
    <dataValidation type="list" allowBlank="1" showInputMessage="1" showErrorMessage="1" sqref="A4" xr:uid="{00000000-0002-0000-0300-000000000000}">
      <formula1>$M$1:$M$14</formula1>
    </dataValidation>
    <dataValidation type="list" allowBlank="1" showInputMessage="1" showErrorMessage="1" sqref="B4" xr:uid="{00000000-0002-0000-0300-000002000000}">
      <formula1>$O$1:$O$4</formula1>
    </dataValidation>
    <dataValidation type="list" allowBlank="1" showInputMessage="1" showErrorMessage="1" sqref="E4:E13 D4" xr:uid="{00000000-0002-0000-0300-000004000000}">
      <formula1>$Q$1:$Q$10</formula1>
    </dataValidation>
    <dataValidation type="list" allowBlank="1" showInputMessage="1" showErrorMessage="1" sqref="C4" xr:uid="{96994515-9881-4EC5-8811-8D81CAAEC36B}">
      <formula1>$W$1:$W$2</formula1>
    </dataValidation>
  </dataValidations>
  <pageMargins left="0.7" right="0.7" top="0.75" bottom="0.75" header="0.3" footer="0.3"/>
  <pageSetup scale="8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249977111117893"/>
    <pageSetUpPr fitToPage="1"/>
  </sheetPr>
  <dimension ref="A1:Z39"/>
  <sheetViews>
    <sheetView topLeftCell="A7" zoomScaleNormal="100" workbookViewId="0">
      <selection activeCell="E8" sqref="E8:N8"/>
    </sheetView>
  </sheetViews>
  <sheetFormatPr defaultColWidth="8.77734375" defaultRowHeight="14.4" x14ac:dyDescent="0.3"/>
  <cols>
    <col min="1" max="1" width="25.88671875" customWidth="1"/>
    <col min="2" max="2" width="1.109375" customWidth="1"/>
    <col min="3" max="3" width="6.33203125" customWidth="1"/>
    <col min="4" max="4" width="7.109375" customWidth="1"/>
    <col min="5" max="5" width="11" customWidth="1"/>
    <col min="6" max="6" width="19.21875" customWidth="1"/>
    <col min="7" max="7" width="5.44140625" customWidth="1"/>
    <col min="8" max="8" width="10.109375" customWidth="1"/>
    <col min="9" max="9" width="12.109375" customWidth="1"/>
    <col min="10" max="10" width="3.109375" customWidth="1"/>
    <col min="11" max="11" width="18.21875" customWidth="1"/>
    <col min="12" max="13" width="8.77734375" customWidth="1"/>
    <col min="14" max="14" width="10" customWidth="1"/>
    <col min="15" max="16" width="8.77734375" style="8" hidden="1" customWidth="1"/>
    <col min="17" max="17" width="12" style="8" hidden="1" customWidth="1"/>
    <col min="18" max="24" width="8.77734375" hidden="1" customWidth="1"/>
  </cols>
  <sheetData>
    <row r="1" spans="1:26" ht="25.8" hidden="1" customHeight="1" x14ac:dyDescent="0.3">
      <c r="A1" s="445" t="s">
        <v>202</v>
      </c>
      <c r="B1" s="446"/>
      <c r="C1" s="446"/>
      <c r="D1" s="446"/>
      <c r="E1" s="446"/>
      <c r="F1" s="446"/>
      <c r="G1" s="446"/>
      <c r="H1" s="446"/>
      <c r="I1" s="446"/>
      <c r="J1" s="446"/>
      <c r="K1" s="447"/>
      <c r="R1" t="s">
        <v>48</v>
      </c>
    </row>
    <row r="2" spans="1:26" ht="15" hidden="1" x14ac:dyDescent="0.3">
      <c r="A2" s="448" t="s">
        <v>199</v>
      </c>
      <c r="B2" s="449"/>
      <c r="C2" s="449"/>
      <c r="D2" s="449"/>
      <c r="E2" s="449"/>
      <c r="F2" s="449"/>
      <c r="G2" s="449"/>
      <c r="H2" s="449"/>
      <c r="I2" s="449"/>
      <c r="J2" s="449"/>
      <c r="K2" s="450"/>
      <c r="R2" t="s">
        <v>49</v>
      </c>
    </row>
    <row r="3" spans="1:26" ht="15" hidden="1" x14ac:dyDescent="0.3">
      <c r="A3" s="448" t="s">
        <v>200</v>
      </c>
      <c r="B3" s="449"/>
      <c r="C3" s="449"/>
      <c r="D3" s="449"/>
      <c r="E3" s="449"/>
      <c r="F3" s="449"/>
      <c r="G3" s="449"/>
      <c r="H3" s="449"/>
      <c r="I3" s="449"/>
      <c r="J3" s="449"/>
      <c r="K3" s="450"/>
    </row>
    <row r="4" spans="1:26" hidden="1" x14ac:dyDescent="0.3">
      <c r="A4" s="448" t="s">
        <v>201</v>
      </c>
      <c r="B4" s="449"/>
      <c r="C4" s="449"/>
      <c r="D4" s="449"/>
      <c r="E4" s="449"/>
      <c r="F4" s="449"/>
      <c r="G4" s="449"/>
      <c r="H4" s="449"/>
      <c r="I4" s="449"/>
      <c r="J4" s="449"/>
      <c r="K4" s="451"/>
    </row>
    <row r="5" spans="1:26" ht="5.4" hidden="1" customHeight="1" x14ac:dyDescent="0.3">
      <c r="A5" s="452"/>
      <c r="B5" s="446"/>
      <c r="C5" s="446"/>
      <c r="D5" s="446"/>
      <c r="E5" s="446"/>
      <c r="F5" s="446"/>
      <c r="G5" s="446"/>
      <c r="H5" s="446"/>
      <c r="I5" s="446"/>
      <c r="J5" s="446"/>
      <c r="K5" s="447"/>
    </row>
    <row r="6" spans="1:26" ht="16.8" hidden="1" customHeight="1" x14ac:dyDescent="0.3">
      <c r="A6" s="4" t="s">
        <v>6</v>
      </c>
      <c r="B6" s="5"/>
      <c r="C6" s="5"/>
      <c r="D6" s="4" t="s">
        <v>2</v>
      </c>
      <c r="E6" s="5"/>
      <c r="F6" s="5"/>
      <c r="G6" s="5"/>
      <c r="H6" s="4" t="s">
        <v>3</v>
      </c>
      <c r="I6" s="5"/>
      <c r="J6" s="5"/>
      <c r="K6" s="5"/>
    </row>
    <row r="7" spans="1:26" ht="18" x14ac:dyDescent="0.35">
      <c r="A7" s="520" t="s">
        <v>319</v>
      </c>
      <c r="B7" s="521"/>
      <c r="C7" s="521"/>
      <c r="D7" s="521"/>
      <c r="E7" s="521"/>
      <c r="F7" s="521"/>
      <c r="G7" s="521"/>
      <c r="H7" s="521"/>
      <c r="I7" s="521"/>
      <c r="J7" s="521"/>
      <c r="K7" s="522"/>
      <c r="L7" s="522"/>
      <c r="M7" s="522"/>
      <c r="N7" s="523"/>
    </row>
    <row r="8" spans="1:26" ht="28.8" customHeight="1" x14ac:dyDescent="0.3">
      <c r="A8" s="524" t="s">
        <v>4</v>
      </c>
      <c r="B8" s="525"/>
      <c r="C8" s="525"/>
      <c r="D8" s="526"/>
      <c r="E8" s="467"/>
      <c r="F8" s="530"/>
      <c r="G8" s="530"/>
      <c r="H8" s="530"/>
      <c r="I8" s="530"/>
      <c r="J8" s="530"/>
      <c r="K8" s="530"/>
      <c r="L8" s="530"/>
      <c r="M8" s="530"/>
      <c r="N8" s="531"/>
    </row>
    <row r="9" spans="1:26" x14ac:dyDescent="0.3">
      <c r="A9" s="524" t="s">
        <v>5</v>
      </c>
      <c r="B9" s="525"/>
      <c r="C9" s="525"/>
      <c r="D9" s="526"/>
      <c r="E9" s="532"/>
      <c r="F9" s="533"/>
      <c r="G9" s="533"/>
      <c r="H9" s="533"/>
      <c r="I9" s="533"/>
      <c r="J9" s="533"/>
      <c r="K9" s="533"/>
      <c r="L9" s="533"/>
      <c r="M9" s="533"/>
      <c r="N9" s="534"/>
      <c r="O9"/>
      <c r="P9"/>
      <c r="Q9"/>
    </row>
    <row r="10" spans="1:26" x14ac:dyDescent="0.3">
      <c r="A10" s="527" t="s">
        <v>0</v>
      </c>
      <c r="B10" s="525"/>
      <c r="C10" s="525"/>
      <c r="D10" s="526"/>
      <c r="E10" s="467"/>
      <c r="F10" s="468"/>
      <c r="G10" s="468"/>
      <c r="H10" s="468"/>
      <c r="I10" s="468"/>
      <c r="J10" s="468"/>
      <c r="K10" s="468"/>
      <c r="L10" s="468"/>
      <c r="M10" s="468"/>
      <c r="N10" s="469"/>
    </row>
    <row r="11" spans="1:26" x14ac:dyDescent="0.3">
      <c r="A11" s="528" t="s">
        <v>320</v>
      </c>
      <c r="B11" s="525"/>
      <c r="C11" s="525"/>
      <c r="D11" s="526"/>
      <c r="E11" s="470"/>
      <c r="F11" s="471"/>
      <c r="G11" s="471"/>
      <c r="H11" s="471"/>
      <c r="I11" s="471"/>
      <c r="J11" s="471"/>
      <c r="K11" s="471"/>
      <c r="L11" s="471"/>
      <c r="M11" s="471"/>
      <c r="N11" s="472"/>
      <c r="Z11" s="11"/>
    </row>
    <row r="12" spans="1:26" x14ac:dyDescent="0.3">
      <c r="A12" s="529" t="s">
        <v>321</v>
      </c>
      <c r="B12" s="525"/>
      <c r="C12" s="525"/>
      <c r="D12" s="526"/>
      <c r="E12" s="473"/>
      <c r="F12" s="474"/>
      <c r="G12" s="474"/>
      <c r="H12" s="474"/>
      <c r="I12" s="474"/>
      <c r="J12" s="474"/>
      <c r="K12" s="474"/>
      <c r="L12" s="474"/>
      <c r="M12" s="474"/>
      <c r="N12" s="475"/>
      <c r="O12" s="285"/>
      <c r="P12" s="285"/>
      <c r="Q12" s="285"/>
    </row>
    <row r="13" spans="1:26" ht="23.55" hidden="1" customHeight="1" x14ac:dyDescent="0.3">
      <c r="A13" s="459" t="s">
        <v>151</v>
      </c>
      <c r="B13" s="460"/>
      <c r="C13" s="461"/>
      <c r="D13" s="453" t="s">
        <v>130</v>
      </c>
      <c r="E13" s="454"/>
      <c r="F13" s="455"/>
      <c r="G13" s="462" t="s">
        <v>209</v>
      </c>
      <c r="H13" s="463"/>
      <c r="I13" s="464" t="s">
        <v>1</v>
      </c>
      <c r="J13" s="465"/>
      <c r="K13" s="466"/>
      <c r="M13" s="3"/>
      <c r="N13" s="3"/>
    </row>
    <row r="14" spans="1:26" hidden="1" x14ac:dyDescent="0.3">
      <c r="A14" s="435" t="s">
        <v>206</v>
      </c>
      <c r="B14" s="436"/>
      <c r="C14" s="437"/>
      <c r="D14" s="432" t="str">
        <f>IF(MAX($R$30:$R438)&gt;0,VLOOKUP(1,$R$30:$S$38,2,FALSE),"")</f>
        <v/>
      </c>
      <c r="E14" s="433"/>
      <c r="F14" s="434"/>
      <c r="G14" s="430" t="str">
        <f>IF(MAX($R$30:$R438)&gt;0,VLOOKUP(1,$R$30:$T$38,3,FALSE),"")</f>
        <v/>
      </c>
      <c r="H14" s="431"/>
      <c r="I14" s="457" t="e">
        <f>IF(MAX(#REF!)&gt;0,VLOOKUP(1,#REF!,4,FALSE),"")</f>
        <v>#REF!</v>
      </c>
      <c r="J14" s="457"/>
      <c r="K14" s="458"/>
      <c r="M14" s="3"/>
      <c r="N14" s="3"/>
      <c r="O14" s="8">
        <f>IF(D14="",0,1)</f>
        <v>0</v>
      </c>
      <c r="P14" s="8" t="str">
        <f>IF(O14&gt;0,G14,"")</f>
        <v/>
      </c>
      <c r="Q14" s="8" t="str">
        <f>IF(O14&gt;0,D14,"")</f>
        <v/>
      </c>
    </row>
    <row r="15" spans="1:26" hidden="1" x14ac:dyDescent="0.3">
      <c r="A15" s="438"/>
      <c r="B15" s="436"/>
      <c r="C15" s="437"/>
      <c r="D15" s="432" t="str">
        <f>IF(MAX($R$30:$R439)&gt;1,VLOOKUP(2,$R$30:$S$38,2,FALSE),"")</f>
        <v/>
      </c>
      <c r="E15" s="433"/>
      <c r="F15" s="434"/>
      <c r="G15" s="430" t="str">
        <f>IF(MAX($R$30:$R439)&gt;1,VLOOKUP(2,$R$30:$T$38,3,FALSE),"")</f>
        <v/>
      </c>
      <c r="H15" s="431"/>
      <c r="I15" s="457" t="e">
        <f>IF(MAX(#REF!)&gt;1,VLOOKUP(2,#REF!,4,FALSE),"")</f>
        <v>#REF!</v>
      </c>
      <c r="J15" s="457"/>
      <c r="K15" s="458"/>
      <c r="L15" s="129"/>
      <c r="M15" s="3"/>
      <c r="N15" s="3"/>
      <c r="O15" s="8">
        <f>IF(D15="",0,1+O14)</f>
        <v>0</v>
      </c>
      <c r="P15" s="191" t="str">
        <f t="shared" ref="P15:P22" si="0">IF(O15&gt;0,G15,"")</f>
        <v/>
      </c>
      <c r="Q15" s="128" t="str">
        <f t="shared" ref="Q15:Q22" si="1">IF(O15&gt;0,D15,"")</f>
        <v/>
      </c>
    </row>
    <row r="16" spans="1:26" hidden="1" x14ac:dyDescent="0.3">
      <c r="A16" s="438"/>
      <c r="B16" s="436"/>
      <c r="C16" s="437"/>
      <c r="D16" s="432" t="str">
        <f>IF(MAX($R$30:$R440)&gt;2,VLOOKUP(3,$R$30:$S$38,2,FALSE),"")</f>
        <v/>
      </c>
      <c r="E16" s="433"/>
      <c r="F16" s="434"/>
      <c r="G16" s="430" t="str">
        <f>IF(MAX($R$30:$R440)&gt;2,VLOOKUP(3,$R$30:$T$38,3,FALSE),"")</f>
        <v/>
      </c>
      <c r="H16" s="431"/>
      <c r="I16" s="457" t="e">
        <f>IF(MAX(#REF!)&gt;2,VLOOKUP(3,#REF!,4,FALSE),"")</f>
        <v>#REF!</v>
      </c>
      <c r="J16" s="457"/>
      <c r="K16" s="458"/>
      <c r="M16" s="3"/>
      <c r="N16" s="3"/>
      <c r="O16" s="128">
        <f>IF(D16="",0,1+(MAX(O14:O15)))</f>
        <v>0</v>
      </c>
      <c r="P16" s="191" t="str">
        <f t="shared" si="0"/>
        <v/>
      </c>
      <c r="Q16" s="128" t="str">
        <f t="shared" si="1"/>
        <v/>
      </c>
    </row>
    <row r="17" spans="1:24" hidden="1" x14ac:dyDescent="0.3">
      <c r="A17" s="439"/>
      <c r="B17" s="440"/>
      <c r="C17" s="441"/>
      <c r="D17" s="432" t="str">
        <f>IF(MAX($R$30:$R441)&gt;3,VLOOKUP(4,$R$30:$S$38,2,FALSE),"")</f>
        <v/>
      </c>
      <c r="E17" s="433"/>
      <c r="F17" s="434"/>
      <c r="G17" s="430" t="str">
        <f>IF(MAX($R$30:$R441)&gt;3,VLOOKUP(4,$R$30:$T$38,3,FALSE),"")</f>
        <v/>
      </c>
      <c r="H17" s="431"/>
      <c r="I17" s="457" t="e">
        <f>IF(MAX(#REF!)&gt;3,VLOOKUP(4,#REF!,4,FALSE),"")</f>
        <v>#REF!</v>
      </c>
      <c r="J17" s="457"/>
      <c r="K17" s="458"/>
      <c r="M17" s="3"/>
      <c r="N17" s="3"/>
      <c r="O17" s="128">
        <f>IF(D17="",0,1+(MAX(O14:O16)))</f>
        <v>0</v>
      </c>
      <c r="P17" s="191" t="str">
        <f t="shared" si="0"/>
        <v/>
      </c>
      <c r="Q17" s="128" t="str">
        <f t="shared" si="1"/>
        <v/>
      </c>
    </row>
    <row r="18" spans="1:24" hidden="1" x14ac:dyDescent="0.3">
      <c r="A18" s="439"/>
      <c r="B18" s="440"/>
      <c r="C18" s="441"/>
      <c r="D18" s="432" t="str">
        <f>IF(MAX($R$30:$R442)&gt;4,VLOOKUP(5,$R$30:$S$38,2,FALSE),"")</f>
        <v/>
      </c>
      <c r="E18" s="433"/>
      <c r="F18" s="434"/>
      <c r="G18" s="430" t="str">
        <f>IF(MAX($R$30:$R442)&gt;4,VLOOKUP(5,$R$30:$T$38,3,FALSE),"")</f>
        <v/>
      </c>
      <c r="H18" s="431"/>
      <c r="I18" s="457" t="e">
        <f>IF(MAX(#REF!)&gt;4,VLOOKUP(5,#REF!,4,FALSE),"")</f>
        <v>#REF!</v>
      </c>
      <c r="J18" s="457"/>
      <c r="K18" s="458"/>
      <c r="M18" s="3"/>
      <c r="N18" s="3"/>
      <c r="O18" s="128">
        <f>IF(D18="",0,1+(MAX(O14:O17)))</f>
        <v>0</v>
      </c>
      <c r="P18" s="191" t="str">
        <f t="shared" si="0"/>
        <v/>
      </c>
      <c r="Q18" s="128" t="str">
        <f t="shared" si="1"/>
        <v/>
      </c>
    </row>
    <row r="19" spans="1:24" hidden="1" x14ac:dyDescent="0.3">
      <c r="A19" s="439"/>
      <c r="B19" s="440"/>
      <c r="C19" s="441"/>
      <c r="D19" s="432" t="str">
        <f>IF(MAX($R$30:$R443)&gt;5,VLOOKUP(6,$R$30:$S$38,2,FALSE),"")</f>
        <v/>
      </c>
      <c r="E19" s="433"/>
      <c r="F19" s="434"/>
      <c r="G19" s="430" t="str">
        <f>IF(MAX($R$30:$R443)&gt;5,VLOOKUP(6,$R$30:$T$38,3,FALSE),"")</f>
        <v/>
      </c>
      <c r="H19" s="431"/>
      <c r="I19" s="457" t="e">
        <f>IF(MAX(#REF!)&gt;5,VLOOKUP(6,#REF!,4,FALSE),"")</f>
        <v>#REF!</v>
      </c>
      <c r="J19" s="457"/>
      <c r="K19" s="458"/>
      <c r="M19" s="3"/>
      <c r="N19" s="3"/>
      <c r="O19" s="128">
        <f>IF(D19="",0,1+(MAX(O14:O18)))</f>
        <v>0</v>
      </c>
      <c r="P19" s="191" t="str">
        <f t="shared" si="0"/>
        <v/>
      </c>
      <c r="Q19" s="128" t="str">
        <f t="shared" si="1"/>
        <v/>
      </c>
    </row>
    <row r="20" spans="1:24" hidden="1" x14ac:dyDescent="0.3">
      <c r="A20" s="439"/>
      <c r="B20" s="440"/>
      <c r="C20" s="441"/>
      <c r="D20" s="432" t="str">
        <f>IF(MAX($R$30:$R444)&gt;6,VLOOKUP(7,$R$30:$S$38,2,FALSE),"")</f>
        <v/>
      </c>
      <c r="E20" s="433"/>
      <c r="F20" s="434"/>
      <c r="G20" s="430" t="str">
        <f>IF(MAX($R$30:$R444)&gt;6,VLOOKUP(7,$R$30:$T$38,3,FALSE),"")</f>
        <v/>
      </c>
      <c r="H20" s="431"/>
      <c r="I20" s="457" t="e">
        <f>IF(MAX(#REF!)&gt;6,VLOOKUP(7,#REF!,4,FALSE),"")</f>
        <v>#REF!</v>
      </c>
      <c r="J20" s="457"/>
      <c r="K20" s="458"/>
      <c r="M20" s="3"/>
      <c r="N20" s="3"/>
      <c r="O20" s="128">
        <f>IF(D20="",0,1+(MAX(O14:O19)))</f>
        <v>0</v>
      </c>
      <c r="P20" s="191" t="str">
        <f t="shared" si="0"/>
        <v/>
      </c>
      <c r="Q20" s="128" t="str">
        <f t="shared" si="1"/>
        <v/>
      </c>
    </row>
    <row r="21" spans="1:24" hidden="1" x14ac:dyDescent="0.3">
      <c r="A21" s="439"/>
      <c r="B21" s="440"/>
      <c r="C21" s="441"/>
      <c r="D21" s="432" t="str">
        <f>IF(MAX($R$30:$R445)&gt;7,VLOOKUP(8,$R$30:$S$38,2,FALSE),"")</f>
        <v/>
      </c>
      <c r="E21" s="433"/>
      <c r="F21" s="434"/>
      <c r="G21" s="430" t="str">
        <f>IF(MAX($R$30:$R445)&gt;7,VLOOKUP(8,$R$30:$T$38,3,FALSE),"")</f>
        <v/>
      </c>
      <c r="H21" s="431"/>
      <c r="I21" s="457" t="e">
        <f>IF(MAX(#REF!)&gt;7,VLOOKUP(8,#REF!,4,FALSE),"")</f>
        <v>#REF!</v>
      </c>
      <c r="J21" s="457"/>
      <c r="K21" s="458"/>
      <c r="M21" s="3"/>
      <c r="N21" s="3"/>
      <c r="O21" s="128">
        <f>IF(D21="",0,1+(MAX(O14:O20)))</f>
        <v>0</v>
      </c>
      <c r="P21" s="191" t="str">
        <f t="shared" si="0"/>
        <v/>
      </c>
      <c r="Q21" s="128" t="str">
        <f t="shared" si="1"/>
        <v/>
      </c>
    </row>
    <row r="22" spans="1:24" hidden="1" x14ac:dyDescent="0.3">
      <c r="A22" s="442"/>
      <c r="B22" s="443"/>
      <c r="C22" s="444"/>
      <c r="D22" s="432" t="str">
        <f>IF(MAX($R$30:$R446)&gt;8,VLOOKUP(9,$R$30:$S$38,2,FALSE),"")</f>
        <v/>
      </c>
      <c r="E22" s="456"/>
      <c r="F22" s="434"/>
      <c r="G22" s="430" t="str">
        <f>IF(MAX($R$30:$R446)&gt;8,VLOOKUP(9,$R$30:$T$38,3,FALSE),"")</f>
        <v/>
      </c>
      <c r="H22" s="431"/>
      <c r="I22" s="457" t="e">
        <f>IF(MAX(#REF!)&gt;8,VLOOKUP(9,#REF!,4,FALSE),"")</f>
        <v>#REF!</v>
      </c>
      <c r="J22" s="457"/>
      <c r="K22" s="458"/>
      <c r="M22" s="3"/>
      <c r="N22" s="3"/>
      <c r="O22" s="128">
        <f>IF(D22="",0,1+(MAX(O14:O21)))</f>
        <v>0</v>
      </c>
      <c r="P22" s="191" t="str">
        <f t="shared" si="0"/>
        <v/>
      </c>
      <c r="Q22" s="128" t="str">
        <f t="shared" si="1"/>
        <v/>
      </c>
    </row>
    <row r="23" spans="1:24" ht="8.4" customHeight="1" x14ac:dyDescent="0.3">
      <c r="A23" s="3"/>
      <c r="B23" s="3"/>
      <c r="C23" s="3"/>
      <c r="D23" s="3"/>
      <c r="E23" s="354"/>
      <c r="F23" s="3"/>
      <c r="G23" s="3"/>
      <c r="H23" s="3"/>
      <c r="I23" s="3"/>
      <c r="J23" s="3"/>
      <c r="K23" s="3"/>
      <c r="L23" s="3"/>
      <c r="M23" s="3"/>
      <c r="N23" s="3"/>
    </row>
    <row r="24" spans="1:24" ht="10.199999999999999" customHeight="1" x14ac:dyDescent="0.3">
      <c r="A24" s="499" t="s">
        <v>207</v>
      </c>
      <c r="B24" s="500"/>
      <c r="C24" s="500"/>
      <c r="D24" s="500"/>
      <c r="E24" s="500"/>
      <c r="F24" s="500"/>
      <c r="G24" s="500"/>
      <c r="H24" s="500"/>
      <c r="I24" s="500"/>
      <c r="J24" s="500"/>
      <c r="K24" s="500"/>
      <c r="L24" s="501"/>
      <c r="M24" s="501"/>
      <c r="N24" s="502"/>
      <c r="O24"/>
      <c r="P24"/>
      <c r="Q24"/>
      <c r="R24" t="s">
        <v>48</v>
      </c>
    </row>
    <row r="25" spans="1:24" ht="10.199999999999999" customHeight="1" x14ac:dyDescent="0.3">
      <c r="A25" s="503"/>
      <c r="B25" s="504"/>
      <c r="C25" s="504"/>
      <c r="D25" s="504"/>
      <c r="E25" s="504"/>
      <c r="F25" s="504"/>
      <c r="G25" s="504"/>
      <c r="H25" s="504"/>
      <c r="I25" s="504"/>
      <c r="J25" s="504"/>
      <c r="K25" s="504"/>
      <c r="L25" s="505"/>
      <c r="M25" s="505"/>
      <c r="N25" s="506"/>
      <c r="O25"/>
      <c r="P25"/>
      <c r="Q25"/>
      <c r="R25" t="s">
        <v>49</v>
      </c>
    </row>
    <row r="26" spans="1:24" ht="14.4" customHeight="1" x14ac:dyDescent="0.3">
      <c r="A26" s="476" t="s">
        <v>210</v>
      </c>
      <c r="B26" s="477"/>
      <c r="C26" s="477"/>
      <c r="D26" s="477"/>
      <c r="E26" s="477"/>
      <c r="F26" s="477"/>
      <c r="G26" s="477"/>
      <c r="H26" s="477"/>
      <c r="I26" s="477"/>
      <c r="J26" s="477"/>
      <c r="K26" s="477"/>
      <c r="L26" s="478"/>
      <c r="M26" s="478"/>
      <c r="N26" s="479"/>
      <c r="O26"/>
      <c r="P26"/>
      <c r="Q26"/>
    </row>
    <row r="27" spans="1:24" x14ac:dyDescent="0.3">
      <c r="A27" s="480"/>
      <c r="B27" s="481"/>
      <c r="C27" s="481"/>
      <c r="D27" s="481"/>
      <c r="E27" s="481"/>
      <c r="F27" s="481"/>
      <c r="G27" s="481"/>
      <c r="H27" s="481"/>
      <c r="I27" s="481"/>
      <c r="J27" s="481"/>
      <c r="K27" s="481"/>
      <c r="L27" s="482"/>
      <c r="M27" s="482"/>
      <c r="N27" s="483"/>
      <c r="O27"/>
      <c r="P27"/>
      <c r="Q27"/>
    </row>
    <row r="28" spans="1:24" ht="14.4" customHeight="1" x14ac:dyDescent="0.3">
      <c r="A28" s="484" t="s">
        <v>130</v>
      </c>
      <c r="B28" s="484"/>
      <c r="C28" s="485" t="s">
        <v>208</v>
      </c>
      <c r="D28" s="486"/>
      <c r="E28" s="488" t="s">
        <v>1</v>
      </c>
      <c r="F28" s="489"/>
      <c r="G28" s="488" t="s">
        <v>203</v>
      </c>
      <c r="H28" s="489"/>
      <c r="I28" s="488" t="s">
        <v>205</v>
      </c>
      <c r="J28" s="489"/>
      <c r="K28" s="491" t="s">
        <v>293</v>
      </c>
      <c r="L28" s="493" t="s">
        <v>204</v>
      </c>
      <c r="M28" s="494"/>
      <c r="N28" s="495"/>
      <c r="O28"/>
      <c r="P28"/>
      <c r="Q28"/>
    </row>
    <row r="29" spans="1:24" ht="27" customHeight="1" x14ac:dyDescent="0.3">
      <c r="A29" s="484"/>
      <c r="B29" s="484"/>
      <c r="C29" s="487"/>
      <c r="D29" s="487"/>
      <c r="E29" s="490"/>
      <c r="F29" s="490"/>
      <c r="G29" s="490"/>
      <c r="H29" s="490"/>
      <c r="I29" s="490"/>
      <c r="J29" s="490"/>
      <c r="K29" s="492"/>
      <c r="L29" s="496"/>
      <c r="M29" s="497"/>
      <c r="N29" s="498"/>
      <c r="O29"/>
      <c r="P29"/>
      <c r="Q29"/>
    </row>
    <row r="30" spans="1:24" ht="25.05" customHeight="1" x14ac:dyDescent="0.3">
      <c r="A30" s="510"/>
      <c r="B30" s="511"/>
      <c r="C30" s="512"/>
      <c r="D30" s="513"/>
      <c r="E30" s="514"/>
      <c r="F30" s="516"/>
      <c r="G30" s="512"/>
      <c r="H30" s="513"/>
      <c r="I30" s="512"/>
      <c r="J30" s="513"/>
      <c r="K30" s="356"/>
      <c r="L30" s="507" t="str">
        <f>IF(OR(A30="",G30="",I30="",C30="",K30=""),"",IF(Q30=0,"Medication WILL NOT be dispensed by IDS","Medication WILL be dispensed by IDS"))</f>
        <v/>
      </c>
      <c r="M30" s="508"/>
      <c r="N30" s="509"/>
      <c r="O30" t="str">
        <f>IF(A30="","",IF(G30="No",1,0))</f>
        <v/>
      </c>
      <c r="P30" t="str">
        <f>IF(A30="","",IF(I30="Yes",1,0))</f>
        <v/>
      </c>
      <c r="Q30">
        <f>IF(A30="",0,O30+P30+V30+W30)</f>
        <v>0</v>
      </c>
      <c r="R30">
        <f>IF(A30="",0,IF(Q30&gt;0,1,""))</f>
        <v>0</v>
      </c>
      <c r="S30" t="str">
        <f>IF(R30="","",IF(R30&gt;0,A30,""))</f>
        <v/>
      </c>
      <c r="T30" t="str">
        <f>IF(R30="","",IF(R30&gt;0,C30,""))</f>
        <v/>
      </c>
      <c r="U30" s="11" t="str">
        <f>IF(R30="","",IF(R30&gt;0,E30,""))</f>
        <v/>
      </c>
      <c r="V30">
        <f>IF(C30="Yes",1,0)</f>
        <v>0</v>
      </c>
      <c r="W30" t="str">
        <f>IF(A30="","",IF(K30="Yes",1,0))</f>
        <v/>
      </c>
      <c r="X30">
        <f>IF(I30="",0,IF(AND(I30="Yes",C30="No"),1,0))</f>
        <v>0</v>
      </c>
    </row>
    <row r="31" spans="1:24" ht="25.05" customHeight="1" x14ac:dyDescent="0.3">
      <c r="A31" s="510"/>
      <c r="B31" s="511"/>
      <c r="C31" s="512"/>
      <c r="D31" s="513"/>
      <c r="E31" s="514"/>
      <c r="F31" s="515"/>
      <c r="G31" s="512"/>
      <c r="H31" s="513"/>
      <c r="I31" s="512"/>
      <c r="J31" s="513"/>
      <c r="K31" s="356"/>
      <c r="L31" s="507" t="str">
        <f>IF(OR(A31="",G31="",I31="",C31="",K31=""),"",IF(Q31=0,"Medication WILL NOT be dispensed by IDS","Medication WILL be dispensed by IDS"))</f>
        <v/>
      </c>
      <c r="M31" s="508"/>
      <c r="N31" s="509"/>
      <c r="O31" t="str">
        <f t="shared" ref="O31:O38" si="2">IF(A31="","",IF(G31="No",1,0))</f>
        <v/>
      </c>
      <c r="P31" t="str">
        <f t="shared" ref="P31:P38" si="3">IF(A31="","",IF(I31="Yes",1,0))</f>
        <v/>
      </c>
      <c r="Q31">
        <f t="shared" ref="Q31:Q38" si="4">IF(A31="",0,O31+P31+V31+W31)</f>
        <v>0</v>
      </c>
      <c r="R31">
        <f>IF(A31="",0,IF(Q31&gt;0,R30+1,""))</f>
        <v>0</v>
      </c>
      <c r="S31" t="str">
        <f t="shared" ref="S31:S38" si="5">IF(R31="","",IF(R31&gt;0,A31,""))</f>
        <v/>
      </c>
      <c r="T31" t="str">
        <f t="shared" ref="T31:T38" si="6">IF(R31="","",IF(R31&gt;0,C31,""))</f>
        <v/>
      </c>
      <c r="U31" s="11" t="str">
        <f t="shared" ref="U31:U38" si="7">IF(R31="","",IF(R31&gt;0,E31,""))</f>
        <v/>
      </c>
      <c r="V31">
        <f t="shared" ref="V31:V38" si="8">IF(C31="Yes",1,0)</f>
        <v>0</v>
      </c>
      <c r="W31" t="str">
        <f t="shared" ref="W31:W38" si="9">IF(A31="","",IF(K31="Yes",1,0))</f>
        <v/>
      </c>
      <c r="X31">
        <f t="shared" ref="X31:X38" si="10">IF(I31="",0,IF(AND(I31="Yes",C31="No"),1,0))</f>
        <v>0</v>
      </c>
    </row>
    <row r="32" spans="1:24" ht="25.05" customHeight="1" x14ac:dyDescent="0.3">
      <c r="A32" s="510"/>
      <c r="B32" s="511"/>
      <c r="C32" s="512"/>
      <c r="D32" s="513"/>
      <c r="E32" s="514"/>
      <c r="F32" s="515"/>
      <c r="G32" s="512"/>
      <c r="H32" s="513"/>
      <c r="I32" s="512"/>
      <c r="J32" s="513"/>
      <c r="K32" s="356"/>
      <c r="L32" s="507" t="str">
        <f t="shared" ref="L32:L38" si="11">IF(OR(A32="",G32="",I32="",C32="",K32=""),"",IF(Q32=0,"Medication WILL NOT be dispensed by IDS","Medication WILL be dispensed by IDS"))</f>
        <v/>
      </c>
      <c r="M32" s="508"/>
      <c r="N32" s="509"/>
      <c r="O32" t="str">
        <f t="shared" si="2"/>
        <v/>
      </c>
      <c r="P32" t="str">
        <f t="shared" si="3"/>
        <v/>
      </c>
      <c r="Q32">
        <f t="shared" si="4"/>
        <v>0</v>
      </c>
      <c r="R32" t="str">
        <f>IF(A32="","",IF(Q32&gt;0,1+MAX(R30:R31),""))</f>
        <v/>
      </c>
      <c r="S32" t="str">
        <f t="shared" si="5"/>
        <v/>
      </c>
      <c r="T32" t="str">
        <f t="shared" si="6"/>
        <v/>
      </c>
      <c r="U32" s="11" t="str">
        <f t="shared" si="7"/>
        <v/>
      </c>
      <c r="V32">
        <f t="shared" si="8"/>
        <v>0</v>
      </c>
      <c r="W32" t="str">
        <f t="shared" si="9"/>
        <v/>
      </c>
      <c r="X32">
        <f t="shared" si="10"/>
        <v>0</v>
      </c>
    </row>
    <row r="33" spans="1:24" ht="25.05" customHeight="1" x14ac:dyDescent="0.3">
      <c r="A33" s="510"/>
      <c r="B33" s="511"/>
      <c r="C33" s="512"/>
      <c r="D33" s="513"/>
      <c r="E33" s="514"/>
      <c r="F33" s="515"/>
      <c r="G33" s="512"/>
      <c r="H33" s="513"/>
      <c r="I33" s="512"/>
      <c r="J33" s="513"/>
      <c r="K33" s="356"/>
      <c r="L33" s="507" t="str">
        <f t="shared" si="11"/>
        <v/>
      </c>
      <c r="M33" s="508"/>
      <c r="N33" s="509"/>
      <c r="O33" t="str">
        <f t="shared" si="2"/>
        <v/>
      </c>
      <c r="P33" t="str">
        <f t="shared" si="3"/>
        <v/>
      </c>
      <c r="Q33">
        <f t="shared" si="4"/>
        <v>0</v>
      </c>
      <c r="R33" t="str">
        <f>IF(A33="","",IF(Q33&gt;0,1+MAX(R30:R32),""))</f>
        <v/>
      </c>
      <c r="S33" t="str">
        <f t="shared" si="5"/>
        <v/>
      </c>
      <c r="T33" t="str">
        <f t="shared" si="6"/>
        <v/>
      </c>
      <c r="U33" s="11" t="str">
        <f t="shared" si="7"/>
        <v/>
      </c>
      <c r="V33">
        <f t="shared" si="8"/>
        <v>0</v>
      </c>
      <c r="W33" t="str">
        <f t="shared" si="9"/>
        <v/>
      </c>
      <c r="X33">
        <f t="shared" si="10"/>
        <v>0</v>
      </c>
    </row>
    <row r="34" spans="1:24" ht="25.05" customHeight="1" x14ac:dyDescent="0.3">
      <c r="A34" s="510"/>
      <c r="B34" s="511"/>
      <c r="C34" s="512"/>
      <c r="D34" s="513"/>
      <c r="E34" s="514"/>
      <c r="F34" s="515"/>
      <c r="G34" s="512"/>
      <c r="H34" s="513"/>
      <c r="I34" s="512"/>
      <c r="J34" s="513"/>
      <c r="K34" s="356"/>
      <c r="L34" s="507" t="str">
        <f t="shared" si="11"/>
        <v/>
      </c>
      <c r="M34" s="508"/>
      <c r="N34" s="509"/>
      <c r="O34" t="str">
        <f t="shared" si="2"/>
        <v/>
      </c>
      <c r="P34" t="str">
        <f t="shared" si="3"/>
        <v/>
      </c>
      <c r="Q34">
        <f t="shared" si="4"/>
        <v>0</v>
      </c>
      <c r="R34" t="str">
        <f>IF(A34="","",IF(Q34&gt;0,1+MAX(R30:R33),""))</f>
        <v/>
      </c>
      <c r="S34" t="str">
        <f t="shared" si="5"/>
        <v/>
      </c>
      <c r="T34" t="str">
        <f t="shared" si="6"/>
        <v/>
      </c>
      <c r="U34" s="11" t="str">
        <f t="shared" si="7"/>
        <v/>
      </c>
      <c r="V34">
        <f t="shared" si="8"/>
        <v>0</v>
      </c>
      <c r="W34" t="str">
        <f t="shared" si="9"/>
        <v/>
      </c>
      <c r="X34">
        <f t="shared" si="10"/>
        <v>0</v>
      </c>
    </row>
    <row r="35" spans="1:24" ht="25.05" customHeight="1" x14ac:dyDescent="0.3">
      <c r="A35" s="510"/>
      <c r="B35" s="511"/>
      <c r="C35" s="512"/>
      <c r="D35" s="513"/>
      <c r="E35" s="514"/>
      <c r="F35" s="515"/>
      <c r="G35" s="512"/>
      <c r="H35" s="513"/>
      <c r="I35" s="512"/>
      <c r="J35" s="513"/>
      <c r="K35" s="356"/>
      <c r="L35" s="507" t="str">
        <f t="shared" si="11"/>
        <v/>
      </c>
      <c r="M35" s="508"/>
      <c r="N35" s="509"/>
      <c r="O35" t="str">
        <f t="shared" si="2"/>
        <v/>
      </c>
      <c r="P35" t="str">
        <f t="shared" si="3"/>
        <v/>
      </c>
      <c r="Q35">
        <f t="shared" si="4"/>
        <v>0</v>
      </c>
      <c r="R35" t="str">
        <f>IF(A35="","",IF(Q35&gt;0,1+MAX(R30:R34),""))</f>
        <v/>
      </c>
      <c r="S35" t="str">
        <f t="shared" si="5"/>
        <v/>
      </c>
      <c r="T35" t="str">
        <f t="shared" si="6"/>
        <v/>
      </c>
      <c r="U35" s="11" t="str">
        <f t="shared" si="7"/>
        <v/>
      </c>
      <c r="V35">
        <f t="shared" si="8"/>
        <v>0</v>
      </c>
      <c r="W35" t="str">
        <f t="shared" si="9"/>
        <v/>
      </c>
      <c r="X35">
        <f t="shared" si="10"/>
        <v>0</v>
      </c>
    </row>
    <row r="36" spans="1:24" ht="25.05" customHeight="1" x14ac:dyDescent="0.3">
      <c r="A36" s="510"/>
      <c r="B36" s="511"/>
      <c r="C36" s="512"/>
      <c r="D36" s="513"/>
      <c r="E36" s="514"/>
      <c r="F36" s="515"/>
      <c r="G36" s="512"/>
      <c r="H36" s="513"/>
      <c r="I36" s="512"/>
      <c r="J36" s="513"/>
      <c r="K36" s="356"/>
      <c r="L36" s="507" t="str">
        <f t="shared" si="11"/>
        <v/>
      </c>
      <c r="M36" s="508"/>
      <c r="N36" s="509"/>
      <c r="O36" t="str">
        <f t="shared" si="2"/>
        <v/>
      </c>
      <c r="P36" t="str">
        <f t="shared" si="3"/>
        <v/>
      </c>
      <c r="Q36">
        <f t="shared" si="4"/>
        <v>0</v>
      </c>
      <c r="R36" t="str">
        <f>IF(A36="","",IF(Q36&gt;0,1+MAX(R30:R35),""))</f>
        <v/>
      </c>
      <c r="S36" t="str">
        <f t="shared" si="5"/>
        <v/>
      </c>
      <c r="T36" t="str">
        <f t="shared" si="6"/>
        <v/>
      </c>
      <c r="U36" s="11" t="str">
        <f t="shared" si="7"/>
        <v/>
      </c>
      <c r="V36">
        <f t="shared" si="8"/>
        <v>0</v>
      </c>
      <c r="W36" t="str">
        <f t="shared" si="9"/>
        <v/>
      </c>
      <c r="X36">
        <f t="shared" si="10"/>
        <v>0</v>
      </c>
    </row>
    <row r="37" spans="1:24" ht="25.05" customHeight="1" x14ac:dyDescent="0.3">
      <c r="A37" s="510"/>
      <c r="B37" s="511"/>
      <c r="C37" s="512"/>
      <c r="D37" s="513"/>
      <c r="E37" s="514"/>
      <c r="F37" s="515"/>
      <c r="G37" s="512"/>
      <c r="H37" s="513"/>
      <c r="I37" s="542"/>
      <c r="J37" s="513"/>
      <c r="K37" s="356"/>
      <c r="L37" s="507" t="str">
        <f t="shared" si="11"/>
        <v/>
      </c>
      <c r="M37" s="508"/>
      <c r="N37" s="509"/>
      <c r="O37" t="str">
        <f t="shared" si="2"/>
        <v/>
      </c>
      <c r="P37" t="str">
        <f t="shared" si="3"/>
        <v/>
      </c>
      <c r="Q37">
        <f t="shared" si="4"/>
        <v>0</v>
      </c>
      <c r="R37" t="str">
        <f>IF(A37="","",IF(Q37&gt;0,1+MAX(R30:R36),""))</f>
        <v/>
      </c>
      <c r="S37" t="str">
        <f t="shared" si="5"/>
        <v/>
      </c>
      <c r="T37" t="str">
        <f t="shared" si="6"/>
        <v/>
      </c>
      <c r="U37" s="11" t="str">
        <f t="shared" si="7"/>
        <v/>
      </c>
      <c r="V37">
        <f t="shared" si="8"/>
        <v>0</v>
      </c>
      <c r="W37" t="str">
        <f t="shared" si="9"/>
        <v/>
      </c>
      <c r="X37">
        <f t="shared" si="10"/>
        <v>0</v>
      </c>
    </row>
    <row r="38" spans="1:24" ht="25.05" customHeight="1" x14ac:dyDescent="0.3">
      <c r="A38" s="535"/>
      <c r="B38" s="536"/>
      <c r="C38" s="537"/>
      <c r="D38" s="538"/>
      <c r="E38" s="539"/>
      <c r="F38" s="540"/>
      <c r="G38" s="537"/>
      <c r="H38" s="538"/>
      <c r="I38" s="541"/>
      <c r="J38" s="538"/>
      <c r="K38" s="355"/>
      <c r="L38" s="517" t="str">
        <f t="shared" si="11"/>
        <v/>
      </c>
      <c r="M38" s="518"/>
      <c r="N38" s="519"/>
      <c r="O38" t="str">
        <f t="shared" si="2"/>
        <v/>
      </c>
      <c r="P38" t="str">
        <f t="shared" si="3"/>
        <v/>
      </c>
      <c r="Q38">
        <f t="shared" si="4"/>
        <v>0</v>
      </c>
      <c r="R38" t="str">
        <f>IF(A38="","",IF(Q38&gt;0,1+MAX(R30:R37),""))</f>
        <v/>
      </c>
      <c r="S38" t="str">
        <f t="shared" si="5"/>
        <v/>
      </c>
      <c r="T38" t="str">
        <f t="shared" si="6"/>
        <v/>
      </c>
      <c r="U38" s="11" t="str">
        <f t="shared" si="7"/>
        <v/>
      </c>
      <c r="V38">
        <f t="shared" si="8"/>
        <v>0</v>
      </c>
      <c r="W38" t="str">
        <f t="shared" si="9"/>
        <v/>
      </c>
      <c r="X38">
        <f t="shared" si="10"/>
        <v>0</v>
      </c>
    </row>
    <row r="39" spans="1:24" x14ac:dyDescent="0.3">
      <c r="A39" s="6"/>
      <c r="B39" s="6"/>
      <c r="C39" s="6"/>
      <c r="D39" s="6"/>
      <c r="E39" s="6"/>
      <c r="F39" s="6"/>
      <c r="G39" s="6"/>
      <c r="H39" s="6"/>
      <c r="I39" s="6"/>
      <c r="J39" s="6"/>
      <c r="K39" s="6"/>
      <c r="L39" s="6"/>
      <c r="M39" s="6"/>
      <c r="N39" s="6"/>
      <c r="O39" s="6"/>
      <c r="P39" s="6"/>
      <c r="Q39" s="6"/>
      <c r="R39" s="6"/>
      <c r="S39" s="6"/>
      <c r="T39" s="6"/>
      <c r="X39">
        <f>SUM(X30:X38)</f>
        <v>0</v>
      </c>
    </row>
  </sheetData>
  <sheetProtection algorithmName="SHA-512" hashValue="t9DTbiGKaRWUtwYEkUiGu4FcUlCLzUULPGTIe3xP9tbzU4Js0cSMXncylHcOYgdIc/6S/8dkzUw+lNZC/95K9g==" saltValue="BsD96BuZsZ+1qVkySgA92Q==" spinCount="100000" sheet="1" selectLockedCells="1"/>
  <mergeCells count="111">
    <mergeCell ref="L38:N38"/>
    <mergeCell ref="A7:N7"/>
    <mergeCell ref="A8:D8"/>
    <mergeCell ref="A9:D9"/>
    <mergeCell ref="A10:D10"/>
    <mergeCell ref="A11:D11"/>
    <mergeCell ref="A12:D12"/>
    <mergeCell ref="E8:N8"/>
    <mergeCell ref="E9:N9"/>
    <mergeCell ref="A38:B38"/>
    <mergeCell ref="C38:D38"/>
    <mergeCell ref="E38:F38"/>
    <mergeCell ref="G38:H38"/>
    <mergeCell ref="I38:J38"/>
    <mergeCell ref="L36:N36"/>
    <mergeCell ref="A37:B37"/>
    <mergeCell ref="C37:D37"/>
    <mergeCell ref="E37:F37"/>
    <mergeCell ref="G37:H37"/>
    <mergeCell ref="I37:J37"/>
    <mergeCell ref="L37:N37"/>
    <mergeCell ref="A36:B36"/>
    <mergeCell ref="C36:D36"/>
    <mergeCell ref="E36:F36"/>
    <mergeCell ref="G36:H36"/>
    <mergeCell ref="I36:J36"/>
    <mergeCell ref="L34:N34"/>
    <mergeCell ref="A35:B35"/>
    <mergeCell ref="C35:D35"/>
    <mergeCell ref="E35:F35"/>
    <mergeCell ref="G35:H35"/>
    <mergeCell ref="I35:J35"/>
    <mergeCell ref="L35:N35"/>
    <mergeCell ref="A34:B34"/>
    <mergeCell ref="C34:D34"/>
    <mergeCell ref="E34:F34"/>
    <mergeCell ref="G34:H34"/>
    <mergeCell ref="I34:J34"/>
    <mergeCell ref="L32:N32"/>
    <mergeCell ref="A33:B33"/>
    <mergeCell ref="C33:D33"/>
    <mergeCell ref="E33:F33"/>
    <mergeCell ref="G33:H33"/>
    <mergeCell ref="I33:J33"/>
    <mergeCell ref="L33:N33"/>
    <mergeCell ref="A32:B32"/>
    <mergeCell ref="C32:D32"/>
    <mergeCell ref="E32:F32"/>
    <mergeCell ref="G32:H32"/>
    <mergeCell ref="I32:J32"/>
    <mergeCell ref="L30:N30"/>
    <mergeCell ref="A31:B31"/>
    <mergeCell ref="C31:D31"/>
    <mergeCell ref="E31:F31"/>
    <mergeCell ref="G31:H31"/>
    <mergeCell ref="I31:J31"/>
    <mergeCell ref="L31:N31"/>
    <mergeCell ref="A30:B30"/>
    <mergeCell ref="C30:D30"/>
    <mergeCell ref="E30:F30"/>
    <mergeCell ref="G30:H30"/>
    <mergeCell ref="I30:J30"/>
    <mergeCell ref="A26:N27"/>
    <mergeCell ref="A28:B29"/>
    <mergeCell ref="C28:D29"/>
    <mergeCell ref="E28:F29"/>
    <mergeCell ref="G28:H29"/>
    <mergeCell ref="I28:J29"/>
    <mergeCell ref="K28:K29"/>
    <mergeCell ref="L28:N29"/>
    <mergeCell ref="A24:N25"/>
    <mergeCell ref="D20:F20"/>
    <mergeCell ref="I14:K14"/>
    <mergeCell ref="G19:H19"/>
    <mergeCell ref="I15:K15"/>
    <mergeCell ref="I16:K16"/>
    <mergeCell ref="E10:N10"/>
    <mergeCell ref="E11:N11"/>
    <mergeCell ref="E12:N12"/>
    <mergeCell ref="I17:K17"/>
    <mergeCell ref="I18:K18"/>
    <mergeCell ref="I20:K20"/>
    <mergeCell ref="G15:H15"/>
    <mergeCell ref="G16:H16"/>
    <mergeCell ref="G17:H17"/>
    <mergeCell ref="G20:H20"/>
    <mergeCell ref="G18:H18"/>
    <mergeCell ref="G21:H21"/>
    <mergeCell ref="G22:H22"/>
    <mergeCell ref="D18:F18"/>
    <mergeCell ref="D19:F19"/>
    <mergeCell ref="A14:C22"/>
    <mergeCell ref="A1:K1"/>
    <mergeCell ref="A2:K2"/>
    <mergeCell ref="A3:K3"/>
    <mergeCell ref="A4:K4"/>
    <mergeCell ref="A5:K5"/>
    <mergeCell ref="D13:F13"/>
    <mergeCell ref="D21:F21"/>
    <mergeCell ref="D22:F22"/>
    <mergeCell ref="D15:F15"/>
    <mergeCell ref="D16:F16"/>
    <mergeCell ref="D17:F17"/>
    <mergeCell ref="D14:F14"/>
    <mergeCell ref="I19:K19"/>
    <mergeCell ref="I21:K21"/>
    <mergeCell ref="I22:K22"/>
    <mergeCell ref="A13:C13"/>
    <mergeCell ref="G13:H13"/>
    <mergeCell ref="I13:K13"/>
    <mergeCell ref="G14:H14"/>
  </mergeCells>
  <phoneticPr fontId="51" type="noConversion"/>
  <conditionalFormatting sqref="L30:N38">
    <cfRule type="containsText" dxfId="6" priority="1" operator="containsText" text="NOT">
      <formula>NOT(ISERROR(SEARCH("NOT",L30)))</formula>
    </cfRule>
  </conditionalFormatting>
  <dataValidations count="1">
    <dataValidation type="list" allowBlank="1" showInputMessage="1" showErrorMessage="1" sqref="C30:D38 G30:K38" xr:uid="{88DAC439-C7F8-4532-B794-9031492B8497}">
      <formula1>$R$1:$R$2</formula1>
    </dataValidation>
  </dataValidations>
  <hyperlinks>
    <hyperlink ref="A6" r:id="rId1" display="www.itmat.upenn.edu/ids.shtml" xr:uid="{00000000-0004-0000-0100-000000000000}"/>
    <hyperlink ref="D6" r:id="rId2" xr:uid="{00000000-0004-0000-0100-000001000000}"/>
    <hyperlink ref="H6" r:id="rId3" xr:uid="{00000000-0004-0000-0100-000002000000}"/>
  </hyperlinks>
  <pageMargins left="0.7" right="0.7" top="0.75" bottom="0.75" header="0.3" footer="0.3"/>
  <pageSetup scale="86" fitToHeight="0"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65DB6-89B9-4F26-9AD8-A4E0BD7767B3}">
  <sheetPr codeName="Sheet10">
    <tabColor theme="8" tint="-0.249977111117893"/>
  </sheetPr>
  <dimension ref="A1:P48"/>
  <sheetViews>
    <sheetView workbookViewId="0">
      <pane ySplit="4" topLeftCell="A5" activePane="bottomLeft" state="frozen"/>
      <selection pane="bottomLeft" activeCell="D5" sqref="D5"/>
    </sheetView>
  </sheetViews>
  <sheetFormatPr defaultRowHeight="14.4" x14ac:dyDescent="0.3"/>
  <cols>
    <col min="1" max="1" width="25.77734375" customWidth="1"/>
    <col min="2" max="2" width="20.44140625" customWidth="1"/>
    <col min="3" max="3" width="9.109375" customWidth="1"/>
    <col min="4" max="4" width="10.5546875" customWidth="1"/>
    <col min="5" max="5" width="56.44140625" customWidth="1"/>
    <col min="6" max="6" width="6.77734375" hidden="1" customWidth="1"/>
    <col min="7" max="7" width="11.5546875" style="285" hidden="1" customWidth="1"/>
    <col min="8" max="8" width="11.6640625" style="285" hidden="1" customWidth="1"/>
    <col min="9" max="9" width="14" hidden="1" customWidth="1"/>
    <col min="10" max="12" width="8.88671875" hidden="1" customWidth="1"/>
    <col min="13" max="13" width="17.6640625" hidden="1" customWidth="1"/>
    <col min="14" max="15" width="8.88671875" hidden="1" customWidth="1"/>
    <col min="16" max="16" width="13.44140625" hidden="1" customWidth="1"/>
    <col min="17" max="17" width="8.88671875" customWidth="1"/>
  </cols>
  <sheetData>
    <row r="1" spans="1:16" ht="9.6" customHeight="1" x14ac:dyDescent="0.3">
      <c r="A1" s="565" t="s">
        <v>258</v>
      </c>
      <c r="B1" s="565"/>
      <c r="C1" s="565"/>
      <c r="D1" s="565"/>
      <c r="E1" s="566"/>
      <c r="I1" t="s">
        <v>48</v>
      </c>
      <c r="J1">
        <v>0</v>
      </c>
      <c r="K1" t="s">
        <v>77</v>
      </c>
    </row>
    <row r="2" spans="1:16" ht="4.8" customHeight="1" x14ac:dyDescent="0.3">
      <c r="A2" s="567"/>
      <c r="B2" s="567"/>
      <c r="C2" s="567"/>
      <c r="D2" s="567"/>
      <c r="E2" s="566"/>
      <c r="I2" t="s">
        <v>49</v>
      </c>
      <c r="J2">
        <v>1</v>
      </c>
      <c r="K2" t="s">
        <v>85</v>
      </c>
    </row>
    <row r="3" spans="1:16" ht="10.8" customHeight="1" x14ac:dyDescent="0.3">
      <c r="A3" s="568"/>
      <c r="B3" s="568"/>
      <c r="C3" s="568"/>
      <c r="D3" s="568"/>
      <c r="E3" s="568"/>
      <c r="G3" s="572" t="s">
        <v>259</v>
      </c>
      <c r="H3" s="572"/>
      <c r="J3">
        <v>2</v>
      </c>
      <c r="K3" t="s">
        <v>82</v>
      </c>
    </row>
    <row r="4" spans="1:16" ht="18" customHeight="1" x14ac:dyDescent="0.3">
      <c r="A4" s="563" t="s">
        <v>10</v>
      </c>
      <c r="B4" s="564"/>
      <c r="C4" s="564"/>
      <c r="D4" s="306" t="s">
        <v>250</v>
      </c>
      <c r="E4" s="306" t="s">
        <v>9</v>
      </c>
      <c r="G4" s="311" t="s">
        <v>248</v>
      </c>
      <c r="H4" s="311" t="s">
        <v>123</v>
      </c>
      <c r="J4">
        <v>3</v>
      </c>
      <c r="L4" s="297" t="s">
        <v>264</v>
      </c>
      <c r="N4">
        <f>MAX(Dispensing!E55,Dispensing!I55,Dispensing!M55,Dispensing!Q55,Dispensing!U55,Dispensing!Y55,Dispensing!AC55,Dispensing!AG55,Dispensing!AK55)</f>
        <v>0</v>
      </c>
      <c r="O4">
        <f>MAX(Dispensing!E55,Dispensing!I55,Dispensing!M55,Dispensing!Q55,Dispensing!U55,Dispensing!Y55,Dispensing!AC55,Dispensing!AG55,Dispensing!AK55)</f>
        <v>0</v>
      </c>
      <c r="P4" s="297" t="s">
        <v>300</v>
      </c>
    </row>
    <row r="5" spans="1:16" ht="34.950000000000003" customHeight="1" x14ac:dyDescent="0.3">
      <c r="A5" s="543" t="s">
        <v>236</v>
      </c>
      <c r="B5" s="544"/>
      <c r="C5" s="544"/>
      <c r="D5" s="336"/>
      <c r="E5" s="561" t="s">
        <v>329</v>
      </c>
      <c r="G5" s="10">
        <f>SUM(G6:G38)+O6+O4+N7</f>
        <v>0</v>
      </c>
      <c r="H5" s="10" t="e">
        <f>SUM(H6:H38)+O4+O5+O6+O7+O8+'Estimate Details'!U11</f>
        <v>#VALUE!</v>
      </c>
      <c r="J5">
        <v>4</v>
      </c>
      <c r="L5" s="297" t="s">
        <v>265</v>
      </c>
      <c r="N5">
        <v>0</v>
      </c>
      <c r="O5">
        <f>IF(SUM(Dispensing!C19+Dispensing!G19+Dispensing!K19+Dispensing!O19+Dispensing!S19+Dispensing!W19+Dispensing!AA19+Dispensing!AE19+Dispensing!AI19)&gt;0,1,0)</f>
        <v>0</v>
      </c>
      <c r="P5" s="297" t="s">
        <v>299</v>
      </c>
    </row>
    <row r="6" spans="1:16" ht="34.950000000000003" customHeight="1" x14ac:dyDescent="0.3">
      <c r="A6" s="543" t="s">
        <v>237</v>
      </c>
      <c r="B6" s="544"/>
      <c r="C6" s="544"/>
      <c r="D6" s="336"/>
      <c r="E6" s="562"/>
      <c r="J6">
        <v>5</v>
      </c>
      <c r="L6" s="297" t="s">
        <v>266</v>
      </c>
      <c r="N6" s="312">
        <f>IF('Manufacturing-Testing-Other'!R45&gt;0,1,0)</f>
        <v>0</v>
      </c>
      <c r="O6">
        <f>IF(N6&gt;0,1,0)</f>
        <v>0</v>
      </c>
      <c r="P6" s="297" t="s">
        <v>299</v>
      </c>
    </row>
    <row r="7" spans="1:16" ht="18" customHeight="1" x14ac:dyDescent="0.3">
      <c r="A7" s="543" t="s">
        <v>238</v>
      </c>
      <c r="B7" s="544"/>
      <c r="C7" s="544"/>
      <c r="D7" s="336"/>
      <c r="E7" s="301" t="s">
        <v>249</v>
      </c>
      <c r="L7" s="297" t="s">
        <v>267</v>
      </c>
      <c r="N7">
        <f>IF('Cover Sheet &amp; Medications'!X39&gt;0,1,0)</f>
        <v>0</v>
      </c>
      <c r="O7">
        <f>IF('Cover Sheet &amp; Medications'!X39&gt;0,1,0)</f>
        <v>0</v>
      </c>
      <c r="P7" s="297" t="s">
        <v>299</v>
      </c>
    </row>
    <row r="8" spans="1:16" ht="18" customHeight="1" x14ac:dyDescent="0.3">
      <c r="A8" s="543" t="s">
        <v>239</v>
      </c>
      <c r="B8" s="544"/>
      <c r="C8" s="544"/>
      <c r="D8" s="336"/>
      <c r="E8" s="303" t="s">
        <v>47</v>
      </c>
      <c r="L8" s="297" t="s">
        <v>290</v>
      </c>
      <c r="N8">
        <v>0</v>
      </c>
      <c r="O8">
        <f>IF(D7&gt;0,1,0)</f>
        <v>0</v>
      </c>
      <c r="P8" s="297" t="s">
        <v>297</v>
      </c>
    </row>
    <row r="9" spans="1:16" ht="18" customHeight="1" x14ac:dyDescent="0.3">
      <c r="A9" s="543" t="s">
        <v>240</v>
      </c>
      <c r="B9" s="544"/>
      <c r="C9" s="544"/>
      <c r="D9" s="336"/>
      <c r="E9" s="303" t="s">
        <v>47</v>
      </c>
    </row>
    <row r="10" spans="1:16" ht="25.2" customHeight="1" x14ac:dyDescent="0.3">
      <c r="A10" s="543" t="s">
        <v>193</v>
      </c>
      <c r="B10" s="544"/>
      <c r="C10" s="544"/>
      <c r="D10" s="336"/>
      <c r="E10" s="302" t="s">
        <v>253</v>
      </c>
    </row>
    <row r="11" spans="1:16" x14ac:dyDescent="0.3">
      <c r="A11" s="543" t="s">
        <v>241</v>
      </c>
      <c r="B11" s="544"/>
      <c r="C11" s="544"/>
      <c r="D11" s="336"/>
      <c r="E11" s="303" t="s">
        <v>47</v>
      </c>
    </row>
    <row r="12" spans="1:16" x14ac:dyDescent="0.3">
      <c r="A12" s="543" t="s">
        <v>23</v>
      </c>
      <c r="B12" s="544"/>
      <c r="C12" s="544"/>
      <c r="D12" s="336"/>
      <c r="E12" s="303" t="s">
        <v>47</v>
      </c>
    </row>
    <row r="13" spans="1:16" ht="28.2" customHeight="1" thickBot="1" x14ac:dyDescent="0.35">
      <c r="A13" s="545" t="s">
        <v>261</v>
      </c>
      <c r="B13" s="546"/>
      <c r="C13" s="546"/>
      <c r="D13" s="337"/>
      <c r="E13" s="310" t="s">
        <v>47</v>
      </c>
      <c r="G13" s="285">
        <f>IF(D13="Yes",1,0)</f>
        <v>0</v>
      </c>
      <c r="I13" s="297" t="s">
        <v>296</v>
      </c>
    </row>
    <row r="14" spans="1:16" ht="28.2" customHeight="1" thickTop="1" x14ac:dyDescent="0.3">
      <c r="A14" s="571" t="s">
        <v>247</v>
      </c>
      <c r="B14" s="562"/>
      <c r="C14" s="562"/>
      <c r="D14" s="338"/>
      <c r="E14" s="307" t="s">
        <v>47</v>
      </c>
    </row>
    <row r="15" spans="1:16" ht="30" customHeight="1" x14ac:dyDescent="0.3">
      <c r="A15" s="543" t="s">
        <v>242</v>
      </c>
      <c r="B15" s="544"/>
      <c r="C15" s="544"/>
      <c r="D15" s="336"/>
      <c r="E15" s="303" t="s">
        <v>47</v>
      </c>
    </row>
    <row r="16" spans="1:16" ht="41.4" customHeight="1" thickBot="1" x14ac:dyDescent="0.35">
      <c r="A16" s="545" t="s">
        <v>52</v>
      </c>
      <c r="B16" s="546"/>
      <c r="C16" s="546"/>
      <c r="D16" s="337"/>
      <c r="E16" s="308" t="s">
        <v>252</v>
      </c>
    </row>
    <row r="17" spans="1:9" ht="29.4" customHeight="1" thickTop="1" x14ac:dyDescent="0.3">
      <c r="A17" s="571" t="s">
        <v>243</v>
      </c>
      <c r="B17" s="562"/>
      <c r="C17" s="562"/>
      <c r="D17" s="338"/>
      <c r="E17" s="309" t="s">
        <v>47</v>
      </c>
    </row>
    <row r="18" spans="1:9" ht="28.2" hidden="1" customHeight="1" x14ac:dyDescent="0.3">
      <c r="A18" s="543" t="s">
        <v>27</v>
      </c>
      <c r="B18" s="544"/>
      <c r="C18" s="544"/>
      <c r="D18" s="304"/>
      <c r="E18" s="302" t="s">
        <v>251</v>
      </c>
    </row>
    <row r="19" spans="1:9" ht="28.8" customHeight="1" x14ac:dyDescent="0.3">
      <c r="A19" s="543" t="s">
        <v>29</v>
      </c>
      <c r="B19" s="544"/>
      <c r="C19" s="544"/>
      <c r="D19" s="336"/>
      <c r="E19" s="303" t="s">
        <v>47</v>
      </c>
    </row>
    <row r="20" spans="1:9" ht="27" customHeight="1" thickBot="1" x14ac:dyDescent="0.35">
      <c r="A20" s="545" t="s">
        <v>194</v>
      </c>
      <c r="B20" s="546"/>
      <c r="C20" s="546"/>
      <c r="D20" s="337"/>
      <c r="E20" s="308" t="s">
        <v>254</v>
      </c>
    </row>
    <row r="21" spans="1:9" ht="27.6" customHeight="1" thickTop="1" x14ac:dyDescent="0.3">
      <c r="A21" s="547" t="s">
        <v>244</v>
      </c>
      <c r="B21" s="548"/>
      <c r="C21" s="549"/>
      <c r="D21" s="338"/>
      <c r="E21" s="307" t="s">
        <v>47</v>
      </c>
    </row>
    <row r="22" spans="1:9" ht="18" customHeight="1" x14ac:dyDescent="0.3">
      <c r="A22" s="550" t="s">
        <v>32</v>
      </c>
      <c r="B22" s="551"/>
      <c r="C22" s="552"/>
      <c r="D22" s="336"/>
      <c r="E22" s="303" t="s">
        <v>256</v>
      </c>
    </row>
    <row r="23" spans="1:9" ht="18" customHeight="1" x14ac:dyDescent="0.3">
      <c r="A23" s="550" t="s">
        <v>34</v>
      </c>
      <c r="B23" s="551"/>
      <c r="C23" s="552"/>
      <c r="D23" s="336"/>
      <c r="E23" s="303" t="s">
        <v>255</v>
      </c>
    </row>
    <row r="24" spans="1:9" ht="28.8" customHeight="1" x14ac:dyDescent="0.3">
      <c r="A24" s="550" t="s">
        <v>35</v>
      </c>
      <c r="B24" s="551"/>
      <c r="C24" s="552"/>
      <c r="D24" s="336"/>
      <c r="E24" s="303" t="s">
        <v>47</v>
      </c>
    </row>
    <row r="25" spans="1:9" ht="28.8" customHeight="1" thickBot="1" x14ac:dyDescent="0.35">
      <c r="A25" s="553" t="s">
        <v>36</v>
      </c>
      <c r="B25" s="554"/>
      <c r="C25" s="555"/>
      <c r="D25" s="337"/>
      <c r="E25" s="310" t="s">
        <v>47</v>
      </c>
    </row>
    <row r="26" spans="1:9" ht="18.600000000000001" customHeight="1" thickTop="1" x14ac:dyDescent="0.3">
      <c r="A26" s="570" t="s">
        <v>228</v>
      </c>
      <c r="B26" s="562"/>
      <c r="C26" s="562"/>
      <c r="D26" s="338"/>
      <c r="E26" s="309" t="s">
        <v>47</v>
      </c>
      <c r="G26" s="285">
        <f>IF(D26="Yes",1,0)</f>
        <v>0</v>
      </c>
      <c r="H26" s="285">
        <f>IF(D26="Yes",1,0)</f>
        <v>0</v>
      </c>
      <c r="I26" s="297" t="s">
        <v>298</v>
      </c>
    </row>
    <row r="27" spans="1:9" ht="26.4" customHeight="1" x14ac:dyDescent="0.3">
      <c r="A27" s="543" t="s">
        <v>302</v>
      </c>
      <c r="B27" s="544"/>
      <c r="C27" s="544"/>
      <c r="D27" s="336"/>
      <c r="E27" s="305" t="s">
        <v>260</v>
      </c>
      <c r="G27" s="285">
        <f>IF(D27&gt;0,D27*0.5,0)</f>
        <v>0</v>
      </c>
      <c r="H27" s="285">
        <f>IF(D27&gt;0,D27*0.5,0)</f>
        <v>0</v>
      </c>
      <c r="I27" s="297" t="s">
        <v>297</v>
      </c>
    </row>
    <row r="28" spans="1:9" x14ac:dyDescent="0.3">
      <c r="A28" s="543" t="s">
        <v>229</v>
      </c>
      <c r="B28" s="544"/>
      <c r="C28" s="544"/>
      <c r="D28" s="336"/>
      <c r="E28" s="303" t="s">
        <v>47</v>
      </c>
      <c r="G28" s="285">
        <f>IF(D28="Yes",2,0)</f>
        <v>0</v>
      </c>
      <c r="H28" s="285">
        <f>IF(D28="Yes",2,0)</f>
        <v>0</v>
      </c>
      <c r="I28" s="297" t="s">
        <v>297</v>
      </c>
    </row>
    <row r="29" spans="1:9" x14ac:dyDescent="0.3">
      <c r="A29" s="569" t="s">
        <v>230</v>
      </c>
      <c r="B29" s="544"/>
      <c r="C29" s="544"/>
      <c r="D29" s="336"/>
      <c r="E29" s="303" t="s">
        <v>47</v>
      </c>
      <c r="G29" s="285">
        <f>IF(D29="Yes",1,0)</f>
        <v>0</v>
      </c>
      <c r="H29" s="285">
        <f>IF(D29="Yes",1,0)</f>
        <v>0</v>
      </c>
      <c r="I29" s="297" t="s">
        <v>297</v>
      </c>
    </row>
    <row r="30" spans="1:9" x14ac:dyDescent="0.3">
      <c r="A30" s="569" t="s">
        <v>303</v>
      </c>
      <c r="B30" s="544"/>
      <c r="C30" s="544"/>
      <c r="D30" s="336"/>
      <c r="E30" s="303" t="s">
        <v>47</v>
      </c>
      <c r="G30" s="285">
        <f>IF(D30="Yes",1,0)</f>
        <v>0</v>
      </c>
      <c r="H30" s="285">
        <f>IF(D30="Yes",1,0)</f>
        <v>0</v>
      </c>
      <c r="I30" s="297" t="s">
        <v>297</v>
      </c>
    </row>
    <row r="31" spans="1:9" x14ac:dyDescent="0.3">
      <c r="A31" s="569" t="s">
        <v>231</v>
      </c>
      <c r="B31" s="544"/>
      <c r="C31" s="544"/>
      <c r="D31" s="336"/>
      <c r="E31" s="303" t="s">
        <v>47</v>
      </c>
      <c r="G31" s="285">
        <v>0</v>
      </c>
      <c r="H31" s="285">
        <f>IF(D31="Yes",1,0)</f>
        <v>0</v>
      </c>
      <c r="I31" s="297" t="s">
        <v>297</v>
      </c>
    </row>
    <row r="32" spans="1:9" ht="27.6" x14ac:dyDescent="0.3">
      <c r="A32" s="569" t="s">
        <v>263</v>
      </c>
      <c r="B32" s="544"/>
      <c r="C32" s="544"/>
      <c r="D32" s="336"/>
      <c r="E32" s="305" t="s">
        <v>262</v>
      </c>
      <c r="G32" s="285">
        <v>0</v>
      </c>
      <c r="H32" s="193">
        <f>IF(D32="",0,IF(D32="Minimal",0.5,IF(D32="Routine",1,2)))</f>
        <v>0</v>
      </c>
      <c r="I32" s="297" t="s">
        <v>76</v>
      </c>
    </row>
    <row r="33" spans="1:9" x14ac:dyDescent="0.3">
      <c r="A33" s="569" t="s">
        <v>232</v>
      </c>
      <c r="B33" s="544"/>
      <c r="C33" s="544"/>
      <c r="D33" s="336"/>
      <c r="E33" s="303" t="s">
        <v>47</v>
      </c>
      <c r="G33" s="285">
        <f>IF(D33="Yes",1,0)</f>
        <v>0</v>
      </c>
      <c r="H33" s="285">
        <f>IF(D33="Yes",1,0)</f>
        <v>0</v>
      </c>
      <c r="I33" s="297" t="s">
        <v>76</v>
      </c>
    </row>
    <row r="34" spans="1:9" ht="27.6" customHeight="1" x14ac:dyDescent="0.3">
      <c r="A34" s="569" t="s">
        <v>233</v>
      </c>
      <c r="B34" s="544"/>
      <c r="C34" s="544"/>
      <c r="D34" s="336"/>
      <c r="E34" s="303" t="s">
        <v>47</v>
      </c>
      <c r="G34" s="285">
        <f>IF(D34="Yes",1,0)</f>
        <v>0</v>
      </c>
      <c r="H34" s="285">
        <f>IF(D34="Yes",1,0)</f>
        <v>0</v>
      </c>
      <c r="I34" s="297" t="s">
        <v>296</v>
      </c>
    </row>
    <row r="35" spans="1:9" x14ac:dyDescent="0.3">
      <c r="A35" s="569" t="s">
        <v>234</v>
      </c>
      <c r="B35" s="544"/>
      <c r="C35" s="544"/>
      <c r="D35" s="336"/>
      <c r="E35" s="303" t="s">
        <v>47</v>
      </c>
      <c r="G35" s="285">
        <f>IF(D35="Yes",1,0)</f>
        <v>0</v>
      </c>
      <c r="H35" s="285">
        <f>IF(D35="Yes",1,0)</f>
        <v>0</v>
      </c>
      <c r="I35" s="199" t="s">
        <v>296</v>
      </c>
    </row>
    <row r="36" spans="1:9" x14ac:dyDescent="0.3">
      <c r="A36" s="569" t="s">
        <v>235</v>
      </c>
      <c r="B36" s="544"/>
      <c r="C36" s="544"/>
      <c r="D36" s="336"/>
      <c r="E36" s="303" t="s">
        <v>47</v>
      </c>
      <c r="G36" s="285">
        <v>0</v>
      </c>
      <c r="H36" s="285">
        <f>IF(D36="Yes",1,0)</f>
        <v>0</v>
      </c>
      <c r="I36" s="199" t="s">
        <v>296</v>
      </c>
    </row>
    <row r="37" spans="1:9" x14ac:dyDescent="0.3">
      <c r="A37" s="569" t="s">
        <v>246</v>
      </c>
      <c r="B37" s="544"/>
      <c r="C37" s="544"/>
      <c r="D37" s="336"/>
      <c r="E37" s="303" t="s">
        <v>257</v>
      </c>
      <c r="G37" s="285">
        <f>IF(D37="",0,1*D37)</f>
        <v>0</v>
      </c>
      <c r="H37" s="285">
        <f>IF(D37="",0,1*D37)</f>
        <v>0</v>
      </c>
      <c r="I37" s="297" t="s">
        <v>296</v>
      </c>
    </row>
    <row r="38" spans="1:9" x14ac:dyDescent="0.3">
      <c r="A38" s="556" t="s">
        <v>245</v>
      </c>
      <c r="B38" s="557"/>
      <c r="C38" s="557"/>
      <c r="D38" s="557"/>
      <c r="E38" s="558"/>
    </row>
    <row r="39" spans="1:9" x14ac:dyDescent="0.3">
      <c r="A39" s="559"/>
      <c r="B39" s="559"/>
      <c r="C39" s="559"/>
      <c r="D39" s="559"/>
      <c r="E39" s="560"/>
    </row>
    <row r="40" spans="1:9" x14ac:dyDescent="0.3">
      <c r="A40" s="559"/>
      <c r="B40" s="559"/>
      <c r="C40" s="559"/>
      <c r="D40" s="559"/>
      <c r="E40" s="560"/>
    </row>
    <row r="41" spans="1:9" x14ac:dyDescent="0.3">
      <c r="A41" s="559"/>
      <c r="B41" s="559"/>
      <c r="C41" s="559"/>
      <c r="D41" s="559"/>
      <c r="E41" s="560"/>
    </row>
    <row r="42" spans="1:9" x14ac:dyDescent="0.3">
      <c r="A42" s="559"/>
      <c r="B42" s="559"/>
      <c r="C42" s="559"/>
      <c r="D42" s="559"/>
      <c r="E42" s="560"/>
    </row>
    <row r="43" spans="1:9" x14ac:dyDescent="0.3">
      <c r="A43" s="559"/>
      <c r="B43" s="559"/>
      <c r="C43" s="559"/>
      <c r="D43" s="559"/>
      <c r="E43" s="560"/>
    </row>
    <row r="44" spans="1:9" x14ac:dyDescent="0.3">
      <c r="A44" s="559"/>
      <c r="B44" s="559"/>
      <c r="C44" s="559"/>
      <c r="D44" s="559"/>
      <c r="E44" s="560"/>
    </row>
    <row r="45" spans="1:9" ht="10.8" customHeight="1" x14ac:dyDescent="0.3">
      <c r="A45" s="559"/>
      <c r="B45" s="559"/>
      <c r="C45" s="559"/>
      <c r="D45" s="559"/>
      <c r="E45" s="560"/>
    </row>
    <row r="46" spans="1:9" ht="12" customHeight="1" x14ac:dyDescent="0.3">
      <c r="A46" s="559"/>
      <c r="B46" s="559"/>
      <c r="C46" s="559"/>
      <c r="D46" s="559"/>
      <c r="E46" s="560"/>
    </row>
    <row r="47" spans="1:9" x14ac:dyDescent="0.3">
      <c r="A47" s="559"/>
      <c r="B47" s="559"/>
      <c r="C47" s="559"/>
      <c r="D47" s="559"/>
      <c r="E47" s="560"/>
    </row>
    <row r="48" spans="1:9" x14ac:dyDescent="0.3">
      <c r="E48" s="108"/>
    </row>
  </sheetData>
  <sheetProtection algorithmName="SHA-512" hashValue="7CDLJGP+tXuImrupW4DatbAnOG2n8800zwdwiQoAum34NRLSiTeSJDtnUbSTyGdgwSfvLCKqQRmsNxc9iwUzJg==" saltValue="LxDNS/8lp3r7ml4IKfzy8Q==" spinCount="100000" sheet="1" selectLockedCells="1"/>
  <mergeCells count="39">
    <mergeCell ref="A37:C37"/>
    <mergeCell ref="A31:C31"/>
    <mergeCell ref="A35:C35"/>
    <mergeCell ref="A36:C36"/>
    <mergeCell ref="G3:H3"/>
    <mergeCell ref="A33:C33"/>
    <mergeCell ref="A34:C34"/>
    <mergeCell ref="A5:C5"/>
    <mergeCell ref="A6:C6"/>
    <mergeCell ref="A7:C7"/>
    <mergeCell ref="A12:C12"/>
    <mergeCell ref="A8:C8"/>
    <mergeCell ref="A16:C16"/>
    <mergeCell ref="A17:C17"/>
    <mergeCell ref="A18:C18"/>
    <mergeCell ref="A19:C19"/>
    <mergeCell ref="A38:E38"/>
    <mergeCell ref="A39:E47"/>
    <mergeCell ref="E5:E6"/>
    <mergeCell ref="A4:C4"/>
    <mergeCell ref="A1:E3"/>
    <mergeCell ref="A30:C30"/>
    <mergeCell ref="A10:C10"/>
    <mergeCell ref="A11:C11"/>
    <mergeCell ref="A9:C9"/>
    <mergeCell ref="A13:C13"/>
    <mergeCell ref="A27:C27"/>
    <mergeCell ref="A26:C26"/>
    <mergeCell ref="A29:C29"/>
    <mergeCell ref="A14:C14"/>
    <mergeCell ref="A15:C15"/>
    <mergeCell ref="A32:C32"/>
    <mergeCell ref="A28:C28"/>
    <mergeCell ref="A20:C20"/>
    <mergeCell ref="A21:C21"/>
    <mergeCell ref="A22:C22"/>
    <mergeCell ref="A23:C23"/>
    <mergeCell ref="A25:C25"/>
    <mergeCell ref="A24:C24"/>
  </mergeCells>
  <conditionalFormatting sqref="E7">
    <cfRule type="containsText" dxfId="5" priority="1" operator="containsText" text="No selection required">
      <formula>NOT(ISERROR(SEARCH("No selection required",E7)))</formula>
    </cfRule>
  </conditionalFormatting>
  <dataValidations count="7">
    <dataValidation type="list" allowBlank="1" showInputMessage="1" showErrorMessage="1" sqref="D8:D9 D11:D15 D19:D21 D24:D26 D17 D28:D31 D33:D36" xr:uid="{D37C0B6A-CB27-4EF4-80E1-166306E51497}">
      <formula1>$I$1:$I$2</formula1>
    </dataValidation>
    <dataValidation type="list" allowBlank="1" showInputMessage="1" showErrorMessage="1" sqref="D5:D6" xr:uid="{708D286D-4E4A-42AA-8228-C0186AB6BAF1}">
      <formula1>$J$2:$J$6</formula1>
    </dataValidation>
    <dataValidation type="list" allowBlank="1" showInputMessage="1" showErrorMessage="1" sqref="D7" xr:uid="{BF7A4A0B-9D31-488A-BD4D-83D6B9FA50B3}">
      <formula1>$J$1:$J$5</formula1>
    </dataValidation>
    <dataValidation type="whole" allowBlank="1" showInputMessage="1" showErrorMessage="1" errorTitle="Error" error="Only numerical values allowed" sqref="D10" xr:uid="{FAC797F9-4B9E-4F9F-A8DB-966CA7F22706}">
      <formula1>0</formula1>
      <formula2>100</formula2>
    </dataValidation>
    <dataValidation type="list" allowBlank="1" showInputMessage="1" showErrorMessage="1" sqref="D18" xr:uid="{5625D322-5356-4820-9732-17E0931664D9}">
      <formula1>$J$1:$J$3</formula1>
    </dataValidation>
    <dataValidation type="whole" allowBlank="1" showInputMessage="1" showErrorMessage="1" sqref="D23" xr:uid="{DCD0009E-CE5A-4C21-BC5A-BE0C8B6CD6F6}">
      <formula1>0</formula1>
      <formula2>100</formula2>
    </dataValidation>
    <dataValidation type="list" allowBlank="1" showInputMessage="1" showErrorMessage="1" sqref="D32" xr:uid="{38412560-EA14-4C77-AFDE-FC63EF13737D}">
      <formula1>$K$1:$K$3</formula1>
    </dataValidation>
  </dataValidation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29637-EDA2-471E-B1B1-5C1661E25ED6}">
  <sheetPr codeName="Sheet11">
    <tabColor theme="8" tint="-0.249977111117893"/>
  </sheetPr>
  <dimension ref="A1:EF55"/>
  <sheetViews>
    <sheetView zoomScale="110" zoomScaleNormal="110" workbookViewId="0">
      <pane xSplit="1" ySplit="1" topLeftCell="B2" activePane="bottomRight" state="frozen"/>
      <selection pane="topRight" activeCell="B1" sqref="B1"/>
      <selection pane="bottomLeft" activeCell="A2" sqref="A2"/>
      <selection pane="bottomRight" activeCell="B42" sqref="B42"/>
    </sheetView>
  </sheetViews>
  <sheetFormatPr defaultRowHeight="14.4" x14ac:dyDescent="0.3"/>
  <cols>
    <col min="1" max="1" width="46.5546875" customWidth="1"/>
    <col min="2" max="2" width="24.77734375" style="223" customWidth="1"/>
    <col min="3" max="3" width="8.109375" style="223" hidden="1" customWidth="1"/>
    <col min="4" max="4" width="12.21875" hidden="1" customWidth="1"/>
    <col min="5" max="5" width="9.33203125" hidden="1" customWidth="1"/>
    <col min="6" max="6" width="24.77734375" customWidth="1"/>
    <col min="7" max="7" width="8.109375" style="223" hidden="1" customWidth="1"/>
    <col min="8" max="8" width="3" style="223" hidden="1" customWidth="1"/>
    <col min="9" max="9" width="8.109375" style="223" hidden="1" customWidth="1"/>
    <col min="10" max="10" width="24.77734375" style="223" customWidth="1"/>
    <col min="11" max="11" width="8.109375" style="223" hidden="1" customWidth="1"/>
    <col min="12" max="12" width="2" style="223" hidden="1" customWidth="1"/>
    <col min="13" max="13" width="8.109375" style="223" hidden="1" customWidth="1"/>
    <col min="14" max="14" width="24.77734375" style="223" customWidth="1"/>
    <col min="15" max="15" width="8.109375" style="223" hidden="1" customWidth="1"/>
    <col min="16" max="16" width="2" style="223" hidden="1" customWidth="1"/>
    <col min="17" max="17" width="8.109375" style="223" hidden="1" customWidth="1"/>
    <col min="18" max="18" width="24.77734375" style="223" customWidth="1"/>
    <col min="19" max="19" width="8.109375" style="223" hidden="1" customWidth="1"/>
    <col min="20" max="20" width="2" style="223" hidden="1" customWidth="1"/>
    <col min="21" max="21" width="8.109375" style="223" hidden="1" customWidth="1"/>
    <col min="22" max="22" width="24.77734375" style="223" customWidth="1"/>
    <col min="23" max="23" width="8.109375" style="223" hidden="1" customWidth="1"/>
    <col min="24" max="24" width="2" style="223" hidden="1" customWidth="1"/>
    <col min="25" max="25" width="8.109375" style="223" hidden="1" customWidth="1"/>
    <col min="26" max="26" width="24.77734375" style="223" customWidth="1"/>
    <col min="27" max="27" width="8.109375" style="223" hidden="1" customWidth="1"/>
    <col min="28" max="28" width="2" style="223" hidden="1" customWidth="1"/>
    <col min="29" max="29" width="8.109375" style="223" hidden="1" customWidth="1"/>
    <col min="30" max="30" width="24.77734375" style="223" customWidth="1"/>
    <col min="31" max="31" width="8.109375" style="223" hidden="1" customWidth="1"/>
    <col min="32" max="32" width="2" style="223" hidden="1" customWidth="1"/>
    <col min="33" max="33" width="8.109375" style="223" hidden="1" customWidth="1"/>
    <col min="34" max="34" width="24.77734375" style="223" customWidth="1"/>
    <col min="35" max="35" width="8.109375" style="223" hidden="1" customWidth="1"/>
    <col min="36" max="36" width="2" style="223" hidden="1" customWidth="1"/>
    <col min="37" max="37" width="8.109375" style="223" hidden="1" customWidth="1"/>
    <col min="38" max="135" width="7.77734375" style="223" customWidth="1"/>
    <col min="136" max="136" width="8.88671875" customWidth="1"/>
  </cols>
  <sheetData>
    <row r="1" spans="1:136" ht="34.200000000000003" customHeight="1" x14ac:dyDescent="0.3">
      <c r="A1" s="271" t="s">
        <v>268</v>
      </c>
      <c r="B1" s="274" t="str">
        <f>IF('Manufacturing-Testing-Other'!A18="","",'Manufacturing-Testing-Other'!A18)</f>
        <v/>
      </c>
      <c r="C1" s="275"/>
      <c r="D1" s="276"/>
      <c r="E1" s="276"/>
      <c r="F1" s="277" t="str">
        <f>IF('Manufacturing-Testing-Other'!A19="","",'Manufacturing-Testing-Other'!A19)</f>
        <v/>
      </c>
      <c r="G1" s="277"/>
      <c r="H1" s="278"/>
      <c r="I1" s="278"/>
      <c r="J1" s="279" t="str">
        <f>IF('Manufacturing-Testing-Other'!A20="","",'Manufacturing-Testing-Other'!A20)</f>
        <v/>
      </c>
      <c r="K1" s="280"/>
      <c r="L1" s="278"/>
      <c r="M1" s="278"/>
      <c r="N1" s="281" t="str">
        <f>IF('Manufacturing-Testing-Other'!A21="","",'Manufacturing-Testing-Other'!A21)</f>
        <v/>
      </c>
      <c r="O1" s="280"/>
      <c r="P1" s="278"/>
      <c r="Q1" s="278"/>
      <c r="R1" s="281" t="str">
        <f>IF('Manufacturing-Testing-Other'!A22="","",'Manufacturing-Testing-Other'!A22)</f>
        <v/>
      </c>
      <c r="S1" s="280"/>
      <c r="T1" s="278"/>
      <c r="U1" s="278"/>
      <c r="V1" s="281" t="str">
        <f>IF('Manufacturing-Testing-Other'!A23="","",'Manufacturing-Testing-Other'!A23)</f>
        <v/>
      </c>
      <c r="W1" s="280"/>
      <c r="X1" s="278"/>
      <c r="Y1" s="278"/>
      <c r="Z1" s="281" t="str">
        <f>IF('Manufacturing-Testing-Other'!A24="","",'Manufacturing-Testing-Other'!A24)</f>
        <v/>
      </c>
      <c r="AA1" s="280"/>
      <c r="AB1" s="278"/>
      <c r="AC1" s="278"/>
      <c r="AD1" s="281" t="str">
        <f>IF('Manufacturing-Testing-Other'!A25="","",'Manufacturing-Testing-Other'!A25)</f>
        <v/>
      </c>
      <c r="AE1" s="280"/>
      <c r="AF1" s="278"/>
      <c r="AG1" s="278"/>
      <c r="AH1" s="281" t="str">
        <f>IF('Manufacturing-Testing-Other'!A26="","",'Manufacturing-Testing-Other'!A26)</f>
        <v/>
      </c>
      <c r="AI1" s="234"/>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row>
    <row r="2" spans="1:136" x14ac:dyDescent="0.3">
      <c r="A2" s="385" t="s">
        <v>171</v>
      </c>
      <c r="B2" s="241"/>
      <c r="F2" s="241"/>
      <c r="H2"/>
      <c r="I2"/>
      <c r="J2" s="241"/>
      <c r="L2"/>
      <c r="M2"/>
      <c r="N2" s="241"/>
      <c r="P2"/>
      <c r="Q2"/>
      <c r="R2" s="241"/>
      <c r="T2"/>
      <c r="U2"/>
      <c r="V2" s="241"/>
      <c r="X2"/>
      <c r="Y2"/>
      <c r="Z2" s="241"/>
      <c r="AB2"/>
      <c r="AC2"/>
      <c r="AD2" s="241"/>
      <c r="AF2"/>
      <c r="AG2"/>
      <c r="AH2" s="241"/>
      <c r="AJ2"/>
      <c r="AK2"/>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row>
    <row r="3" spans="1:136" ht="21" customHeight="1" x14ac:dyDescent="0.3">
      <c r="A3" s="386" t="s">
        <v>172</v>
      </c>
      <c r="B3" s="230"/>
      <c r="F3" s="230"/>
      <c r="H3"/>
      <c r="I3"/>
      <c r="J3" s="230"/>
      <c r="L3"/>
      <c r="M3"/>
      <c r="N3" s="230"/>
      <c r="P3"/>
      <c r="Q3"/>
      <c r="R3" s="230"/>
      <c r="T3"/>
      <c r="U3"/>
      <c r="V3" s="230"/>
      <c r="X3"/>
      <c r="Y3"/>
      <c r="Z3" s="230"/>
      <c r="AB3"/>
      <c r="AC3"/>
      <c r="AD3" s="230"/>
      <c r="AF3"/>
      <c r="AG3"/>
      <c r="AH3" s="230"/>
      <c r="AJ3"/>
      <c r="AK3"/>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row>
    <row r="4" spans="1:136" ht="30.6" customHeight="1" x14ac:dyDescent="0.3">
      <c r="A4" s="359" t="s">
        <v>188</v>
      </c>
      <c r="B4" s="230"/>
      <c r="C4" s="228">
        <f>'IDS Admin Dispensing'!C4</f>
        <v>0</v>
      </c>
      <c r="F4" s="230"/>
      <c r="G4" s="228">
        <f>'IDS Admin Dispensing'!G4</f>
        <v>0</v>
      </c>
      <c r="H4"/>
      <c r="I4"/>
      <c r="J4" s="230"/>
      <c r="K4" s="228">
        <f>'IDS Admin Dispensing'!K4</f>
        <v>0</v>
      </c>
      <c r="L4"/>
      <c r="M4"/>
      <c r="N4" s="230"/>
      <c r="O4" s="228">
        <f>'IDS Admin Dispensing'!O4</f>
        <v>0</v>
      </c>
      <c r="P4"/>
      <c r="Q4"/>
      <c r="R4" s="230"/>
      <c r="S4" s="228">
        <f>'IDS Admin Dispensing'!S4</f>
        <v>0</v>
      </c>
      <c r="T4"/>
      <c r="U4"/>
      <c r="V4" s="230"/>
      <c r="W4" s="228">
        <f>'IDS Admin Dispensing'!W4</f>
        <v>0</v>
      </c>
      <c r="X4"/>
      <c r="Y4"/>
      <c r="Z4" s="230"/>
      <c r="AA4" s="228">
        <f>'IDS Admin Dispensing'!AA4</f>
        <v>0</v>
      </c>
      <c r="AB4"/>
      <c r="AC4"/>
      <c r="AD4" s="230"/>
      <c r="AE4" s="228">
        <f>'IDS Admin Dispensing'!AE4</f>
        <v>0</v>
      </c>
      <c r="AF4"/>
      <c r="AG4"/>
      <c r="AH4" s="230"/>
      <c r="AI4" s="228">
        <f>'IDS Admin Dispensing'!AI4</f>
        <v>0</v>
      </c>
      <c r="AJ4"/>
      <c r="AK4"/>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row>
    <row r="5" spans="1:136" ht="27" hidden="1" customHeight="1" x14ac:dyDescent="0.3">
      <c r="A5" s="387" t="s">
        <v>183</v>
      </c>
      <c r="B5" s="365" t="str">
        <f>IF('IDS Admin Dispensing'!B5="","",'IDS Admin Dispensing'!B5)</f>
        <v/>
      </c>
      <c r="C5" s="366">
        <f>IF(D5="",0,1)</f>
        <v>0</v>
      </c>
      <c r="D5" s="367" t="str">
        <f>'IDS Admin Dispensing'!D5</f>
        <v/>
      </c>
      <c r="E5" s="367" t="str">
        <f>'IDS Admin Dispensing'!E5</f>
        <v/>
      </c>
      <c r="F5" s="365" t="str">
        <f>IF('IDS Admin Dispensing'!F5="","",'IDS Admin Dispensing'!F5)</f>
        <v/>
      </c>
      <c r="G5" s="366">
        <f>IF(H5="",0,1)</f>
        <v>0</v>
      </c>
      <c r="H5" s="367" t="str">
        <f>'IDS Admin Dispensing'!H5</f>
        <v/>
      </c>
      <c r="I5" s="367" t="str">
        <f>'IDS Admin Dispensing'!I5</f>
        <v/>
      </c>
      <c r="J5" s="365" t="str">
        <f>IF('IDS Admin Dispensing'!J5="","",'IDS Admin Dispensing'!J5)</f>
        <v/>
      </c>
      <c r="K5" s="366">
        <f>IF(L5="",0,1)</f>
        <v>0</v>
      </c>
      <c r="L5" s="367" t="str">
        <f>'IDS Admin Dispensing'!L5</f>
        <v/>
      </c>
      <c r="M5" s="367" t="str">
        <f>'IDS Admin Dispensing'!M5</f>
        <v/>
      </c>
      <c r="N5" s="365" t="str">
        <f>IF('IDS Admin Dispensing'!N5="","",'IDS Admin Dispensing'!N5)</f>
        <v/>
      </c>
      <c r="O5" s="366">
        <f>IF(P5="",0,1)</f>
        <v>0</v>
      </c>
      <c r="P5" s="367" t="str">
        <f>'IDS Admin Dispensing'!P5</f>
        <v/>
      </c>
      <c r="Q5" s="367" t="str">
        <f>'IDS Admin Dispensing'!Q5</f>
        <v/>
      </c>
      <c r="R5" s="365" t="str">
        <f>IF('IDS Admin Dispensing'!R5="","",'IDS Admin Dispensing'!R5)</f>
        <v/>
      </c>
      <c r="S5" s="366">
        <f>IF(T5="",0,1)</f>
        <v>0</v>
      </c>
      <c r="T5" s="367" t="str">
        <f>'IDS Admin Dispensing'!T5</f>
        <v/>
      </c>
      <c r="U5" s="367" t="str">
        <f>'IDS Admin Dispensing'!U5</f>
        <v/>
      </c>
      <c r="V5" s="365" t="str">
        <f>IF('IDS Admin Dispensing'!V5="","",'IDS Admin Dispensing'!V5)</f>
        <v/>
      </c>
      <c r="W5" s="366">
        <f>IF(X5="",0,1)</f>
        <v>0</v>
      </c>
      <c r="X5" s="367" t="str">
        <f>'IDS Admin Dispensing'!X5</f>
        <v/>
      </c>
      <c r="Y5" s="367" t="str">
        <f>'IDS Admin Dispensing'!Y5</f>
        <v/>
      </c>
      <c r="Z5" s="365" t="str">
        <f>IF('IDS Admin Dispensing'!Z5="","",'IDS Admin Dispensing'!Z5)</f>
        <v/>
      </c>
      <c r="AA5" s="366">
        <f>IF(AB5="",0,1)</f>
        <v>0</v>
      </c>
      <c r="AB5" s="367" t="str">
        <f>'IDS Admin Dispensing'!AB5</f>
        <v/>
      </c>
      <c r="AC5" s="367" t="str">
        <f>'IDS Admin Dispensing'!AC5</f>
        <v/>
      </c>
      <c r="AD5" s="365" t="str">
        <f>IF('IDS Admin Dispensing'!AD5="","",'IDS Admin Dispensing'!AD5)</f>
        <v/>
      </c>
      <c r="AE5" s="366">
        <f>IF(AF5="",0,1)</f>
        <v>0</v>
      </c>
      <c r="AF5" s="367" t="str">
        <f>'IDS Admin Dispensing'!AF5</f>
        <v/>
      </c>
      <c r="AG5" s="367" t="str">
        <f>'IDS Admin Dispensing'!AG5</f>
        <v/>
      </c>
      <c r="AH5" s="365" t="str">
        <f>IF('IDS Admin Dispensing'!AH5="","",'IDS Admin Dispensing'!AH5)</f>
        <v/>
      </c>
      <c r="AI5" s="366">
        <f>IF(AJ5="",0,1)</f>
        <v>0</v>
      </c>
      <c r="AJ5" s="367" t="str">
        <f>'IDS Admin Dispensing'!AJ5</f>
        <v/>
      </c>
      <c r="AK5" s="367" t="str">
        <f>'IDS Admin Dispensing'!AK5</f>
        <v/>
      </c>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t="s">
        <v>48</v>
      </c>
    </row>
    <row r="6" spans="1:136" ht="25.8" hidden="1" customHeight="1" x14ac:dyDescent="0.3">
      <c r="A6" s="387" t="s">
        <v>212</v>
      </c>
      <c r="B6" s="365" t="str">
        <f>IF('IDS Admin Dispensing'!B6="","",'IDS Admin Dispensing'!B6)</f>
        <v/>
      </c>
      <c r="C6" s="368"/>
      <c r="D6" s="367"/>
      <c r="E6" s="367"/>
      <c r="F6" s="365" t="str">
        <f>IF('IDS Admin Dispensing'!F6="","",'IDS Admin Dispensing'!F6)</f>
        <v/>
      </c>
      <c r="G6" s="368"/>
      <c r="H6" s="367"/>
      <c r="I6" s="367"/>
      <c r="J6" s="365" t="str">
        <f>IF('IDS Admin Dispensing'!J6="","",'IDS Admin Dispensing'!J6)</f>
        <v/>
      </c>
      <c r="K6" s="368"/>
      <c r="L6" s="367"/>
      <c r="M6" s="367"/>
      <c r="N6" s="365" t="str">
        <f>IF('IDS Admin Dispensing'!N6="","",'IDS Admin Dispensing'!N6)</f>
        <v/>
      </c>
      <c r="O6" s="368"/>
      <c r="P6" s="367"/>
      <c r="Q6" s="367"/>
      <c r="R6" s="365" t="str">
        <f>IF('IDS Admin Dispensing'!R6="","",'IDS Admin Dispensing'!R6)</f>
        <v/>
      </c>
      <c r="S6" s="368"/>
      <c r="T6" s="367"/>
      <c r="U6" s="367"/>
      <c r="V6" s="365" t="str">
        <f>IF('IDS Admin Dispensing'!V6="","",'IDS Admin Dispensing'!V6)</f>
        <v/>
      </c>
      <c r="W6" s="368"/>
      <c r="X6" s="367"/>
      <c r="Y6" s="367"/>
      <c r="Z6" s="365" t="str">
        <f>IF('IDS Admin Dispensing'!Z6="","",'IDS Admin Dispensing'!Z6)</f>
        <v/>
      </c>
      <c r="AA6" s="368"/>
      <c r="AB6" s="367"/>
      <c r="AC6" s="367"/>
      <c r="AD6" s="365" t="str">
        <f>IF('IDS Admin Dispensing'!AD6="","",'IDS Admin Dispensing'!AD6)</f>
        <v/>
      </c>
      <c r="AE6" s="368"/>
      <c r="AF6" s="367"/>
      <c r="AG6" s="367"/>
      <c r="AH6" s="365" t="str">
        <f>IF('IDS Admin Dispensing'!AH6="","",'IDS Admin Dispensing'!AH6)</f>
        <v/>
      </c>
      <c r="AI6" s="296"/>
      <c r="AJ6" s="192"/>
      <c r="AK6" s="192"/>
      <c r="AL6" s="10"/>
      <c r="AM6" s="296"/>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t="s">
        <v>49</v>
      </c>
    </row>
    <row r="7" spans="1:136" hidden="1" x14ac:dyDescent="0.3">
      <c r="A7" s="388" t="s">
        <v>158</v>
      </c>
      <c r="B7" s="365" t="str">
        <f>IF('IDS Admin Dispensing'!B7="","",'IDS Admin Dispensing'!B7)</f>
        <v/>
      </c>
      <c r="C7" s="369"/>
      <c r="D7" s="370"/>
      <c r="E7" s="370"/>
      <c r="F7" s="365" t="str">
        <f>IF('IDS Admin Dispensing'!F7="","",'IDS Admin Dispensing'!F7)</f>
        <v/>
      </c>
      <c r="G7" s="369"/>
      <c r="H7" s="370"/>
      <c r="I7" s="370"/>
      <c r="J7" s="365" t="str">
        <f>IF('IDS Admin Dispensing'!J7="","",'IDS Admin Dispensing'!J7)</f>
        <v/>
      </c>
      <c r="K7" s="369"/>
      <c r="L7" s="370"/>
      <c r="M7" s="370"/>
      <c r="N7" s="365" t="str">
        <f>IF('IDS Admin Dispensing'!N7="","",'IDS Admin Dispensing'!N7)</f>
        <v/>
      </c>
      <c r="O7" s="369"/>
      <c r="P7" s="370"/>
      <c r="Q7" s="370"/>
      <c r="R7" s="365" t="str">
        <f>IF('IDS Admin Dispensing'!R7="","",'IDS Admin Dispensing'!R7)</f>
        <v/>
      </c>
      <c r="S7" s="369"/>
      <c r="T7" s="370"/>
      <c r="U7" s="370"/>
      <c r="V7" s="365" t="str">
        <f>IF('IDS Admin Dispensing'!V7="","",'IDS Admin Dispensing'!V7)</f>
        <v/>
      </c>
      <c r="W7" s="369"/>
      <c r="X7" s="370"/>
      <c r="Y7" s="370"/>
      <c r="Z7" s="365" t="str">
        <f>IF('IDS Admin Dispensing'!Z7="","",'IDS Admin Dispensing'!Z7)</f>
        <v/>
      </c>
      <c r="AA7" s="369"/>
      <c r="AB7" s="370"/>
      <c r="AC7" s="370"/>
      <c r="AD7" s="365" t="str">
        <f>IF('IDS Admin Dispensing'!AD7="","",'IDS Admin Dispensing'!AD7)</f>
        <v/>
      </c>
      <c r="AE7" s="369"/>
      <c r="AF7" s="370"/>
      <c r="AG7" s="370"/>
      <c r="AH7" s="365" t="str">
        <f>IF('IDS Admin Dispensing'!AH7="","",'IDS Admin Dispensing'!AH7)</f>
        <v/>
      </c>
      <c r="AJ7"/>
      <c r="AK7"/>
    </row>
    <row r="8" spans="1:136" ht="27.6" hidden="1" customHeight="1" x14ac:dyDescent="0.3">
      <c r="A8" s="389" t="s">
        <v>179</v>
      </c>
      <c r="B8" s="365" t="str">
        <f>IF('IDS Admin Dispensing'!B8="","",'IDS Admin Dispensing'!B8)</f>
        <v/>
      </c>
      <c r="C8" s="371">
        <f>'IDS Admin Dispensing'!C8</f>
        <v>1</v>
      </c>
      <c r="D8" s="380">
        <f>'IDS Admin Dispensing'!D8</f>
        <v>0</v>
      </c>
      <c r="E8" s="384">
        <f>'IDS Admin Dispensing'!E8</f>
        <v>0</v>
      </c>
      <c r="F8" s="365" t="str">
        <f>IF('IDS Admin Dispensing'!F8="","",'IDS Admin Dispensing'!F8)</f>
        <v/>
      </c>
      <c r="G8" s="371">
        <f>'IDS Admin Dispensing'!G8</f>
        <v>1</v>
      </c>
      <c r="H8" s="380">
        <f>'IDS Admin Dispensing'!H8</f>
        <v>0</v>
      </c>
      <c r="I8" s="384">
        <f>'IDS Admin Dispensing'!I8</f>
        <v>0</v>
      </c>
      <c r="J8" s="365" t="str">
        <f>IF('IDS Admin Dispensing'!J8="","",'IDS Admin Dispensing'!J8)</f>
        <v/>
      </c>
      <c r="K8" s="371">
        <f>'IDS Admin Dispensing'!K8</f>
        <v>1</v>
      </c>
      <c r="L8" s="380">
        <f>'IDS Admin Dispensing'!L8</f>
        <v>0</v>
      </c>
      <c r="M8" s="384">
        <f>'IDS Admin Dispensing'!M8</f>
        <v>0</v>
      </c>
      <c r="N8" s="365" t="str">
        <f>IF('IDS Admin Dispensing'!N8="","",'IDS Admin Dispensing'!N8)</f>
        <v/>
      </c>
      <c r="O8" s="371">
        <f>'IDS Admin Dispensing'!O8</f>
        <v>1</v>
      </c>
      <c r="P8" s="380">
        <f>'IDS Admin Dispensing'!P8</f>
        <v>0</v>
      </c>
      <c r="Q8" s="384">
        <f>'IDS Admin Dispensing'!Q8</f>
        <v>0</v>
      </c>
      <c r="R8" s="365" t="str">
        <f>IF('IDS Admin Dispensing'!R8="","",'IDS Admin Dispensing'!R8)</f>
        <v/>
      </c>
      <c r="S8" s="371">
        <f>'IDS Admin Dispensing'!S8</f>
        <v>1</v>
      </c>
      <c r="T8" s="380">
        <f>'IDS Admin Dispensing'!T8</f>
        <v>0</v>
      </c>
      <c r="U8" s="384">
        <f>'IDS Admin Dispensing'!U8</f>
        <v>0</v>
      </c>
      <c r="V8" s="365" t="str">
        <f>IF('IDS Admin Dispensing'!V8="","",'IDS Admin Dispensing'!V8)</f>
        <v/>
      </c>
      <c r="W8" s="371">
        <f>'IDS Admin Dispensing'!W8</f>
        <v>1</v>
      </c>
      <c r="X8" s="380">
        <f>'IDS Admin Dispensing'!X8</f>
        <v>0</v>
      </c>
      <c r="Y8" s="384">
        <f>'IDS Admin Dispensing'!Y8</f>
        <v>0</v>
      </c>
      <c r="Z8" s="365" t="str">
        <f>IF('IDS Admin Dispensing'!Z8="","",'IDS Admin Dispensing'!Z8)</f>
        <v/>
      </c>
      <c r="AA8" s="371">
        <f>'IDS Admin Dispensing'!AA8</f>
        <v>1</v>
      </c>
      <c r="AB8" s="380">
        <f>'IDS Admin Dispensing'!AB8</f>
        <v>0</v>
      </c>
      <c r="AC8" s="384">
        <f>'IDS Admin Dispensing'!AC8</f>
        <v>0</v>
      </c>
      <c r="AD8" s="365" t="str">
        <f>IF('IDS Admin Dispensing'!AD8="","",'IDS Admin Dispensing'!AD8)</f>
        <v/>
      </c>
      <c r="AE8" s="371">
        <f>'IDS Admin Dispensing'!AE8</f>
        <v>1</v>
      </c>
      <c r="AF8" s="380">
        <f>'IDS Admin Dispensing'!AF8</f>
        <v>0</v>
      </c>
      <c r="AG8" s="384">
        <f>'IDS Admin Dispensing'!AG8</f>
        <v>0</v>
      </c>
      <c r="AH8" s="365" t="str">
        <f>IF('IDS Admin Dispensing'!AH8="","",'IDS Admin Dispensing'!AH8)</f>
        <v/>
      </c>
      <c r="AI8" s="371">
        <f>'IDS Admin Dispensing'!AI8</f>
        <v>1</v>
      </c>
      <c r="AJ8" s="380">
        <f>'IDS Admin Dispensing'!AJ8</f>
        <v>0</v>
      </c>
      <c r="AK8" s="384">
        <f>'IDS Admin Dispensing'!AK8</f>
        <v>0</v>
      </c>
    </row>
    <row r="9" spans="1:136" hidden="1" x14ac:dyDescent="0.3">
      <c r="A9" s="388" t="s">
        <v>160</v>
      </c>
      <c r="B9" s="365" t="str">
        <f>IF('IDS Admin Dispensing'!B9="","",'IDS Admin Dispensing'!B9)</f>
        <v/>
      </c>
      <c r="C9" s="366">
        <f>'IDS Admin Dispensing'!C9</f>
        <v>0</v>
      </c>
      <c r="D9" s="367" t="str">
        <f>'IDS Admin Dispensing'!D9</f>
        <v/>
      </c>
      <c r="E9" s="367" t="str">
        <f>'IDS Admin Dispensing'!E9</f>
        <v/>
      </c>
      <c r="F9" s="365" t="str">
        <f>IF('IDS Admin Dispensing'!F9="","",'IDS Admin Dispensing'!F9)</f>
        <v/>
      </c>
      <c r="G9" s="366">
        <f>'IDS Admin Dispensing'!G9</f>
        <v>0</v>
      </c>
      <c r="H9" s="367" t="str">
        <f>'IDS Admin Dispensing'!H9</f>
        <v/>
      </c>
      <c r="I9" s="367" t="str">
        <f>'IDS Admin Dispensing'!I9</f>
        <v/>
      </c>
      <c r="J9" s="365" t="str">
        <f>IF('IDS Admin Dispensing'!J9="","",'IDS Admin Dispensing'!J9)</f>
        <v/>
      </c>
      <c r="K9" s="366">
        <f>'IDS Admin Dispensing'!K9</f>
        <v>0</v>
      </c>
      <c r="L9" s="367" t="str">
        <f>'IDS Admin Dispensing'!L9</f>
        <v/>
      </c>
      <c r="M9" s="367" t="str">
        <f>'IDS Admin Dispensing'!M9</f>
        <v/>
      </c>
      <c r="N9" s="365" t="str">
        <f>IF('IDS Admin Dispensing'!N9="","",'IDS Admin Dispensing'!N9)</f>
        <v/>
      </c>
      <c r="O9" s="366">
        <f>'IDS Admin Dispensing'!O9</f>
        <v>0</v>
      </c>
      <c r="P9" s="367" t="str">
        <f>'IDS Admin Dispensing'!P9</f>
        <v/>
      </c>
      <c r="Q9" s="367" t="str">
        <f>'IDS Admin Dispensing'!Q9</f>
        <v/>
      </c>
      <c r="R9" s="365" t="str">
        <f>IF('IDS Admin Dispensing'!R9="","",'IDS Admin Dispensing'!R9)</f>
        <v/>
      </c>
      <c r="S9" s="366">
        <f>'IDS Admin Dispensing'!S9</f>
        <v>0</v>
      </c>
      <c r="T9" s="367" t="str">
        <f>'IDS Admin Dispensing'!T9</f>
        <v/>
      </c>
      <c r="U9" s="367" t="str">
        <f>'IDS Admin Dispensing'!U9</f>
        <v/>
      </c>
      <c r="V9" s="365" t="str">
        <f>IF('IDS Admin Dispensing'!V9="","",'IDS Admin Dispensing'!V9)</f>
        <v/>
      </c>
      <c r="W9" s="366">
        <f>'IDS Admin Dispensing'!W9</f>
        <v>0</v>
      </c>
      <c r="X9" s="367" t="str">
        <f>'IDS Admin Dispensing'!X9</f>
        <v/>
      </c>
      <c r="Y9" s="367" t="str">
        <f>'IDS Admin Dispensing'!Y9</f>
        <v/>
      </c>
      <c r="Z9" s="365" t="str">
        <f>IF('IDS Admin Dispensing'!Z9="","",'IDS Admin Dispensing'!Z9)</f>
        <v/>
      </c>
      <c r="AA9" s="366">
        <f>'IDS Admin Dispensing'!AA9</f>
        <v>0</v>
      </c>
      <c r="AB9" s="367" t="str">
        <f>'IDS Admin Dispensing'!AB9</f>
        <v/>
      </c>
      <c r="AC9" s="367" t="str">
        <f>'IDS Admin Dispensing'!AC9</f>
        <v/>
      </c>
      <c r="AD9" s="365" t="str">
        <f>IF('IDS Admin Dispensing'!AD9="","",'IDS Admin Dispensing'!AD9)</f>
        <v/>
      </c>
      <c r="AE9" s="366">
        <f>'IDS Admin Dispensing'!AE9</f>
        <v>0</v>
      </c>
      <c r="AF9" s="367" t="str">
        <f>'IDS Admin Dispensing'!AF9</f>
        <v/>
      </c>
      <c r="AG9" s="367" t="str">
        <f>'IDS Admin Dispensing'!AG9</f>
        <v/>
      </c>
      <c r="AH9" s="365" t="str">
        <f>IF('IDS Admin Dispensing'!AH9="","",'IDS Admin Dispensing'!AH9)</f>
        <v/>
      </c>
      <c r="AI9" s="366">
        <f>'IDS Admin Dispensing'!AI9</f>
        <v>0</v>
      </c>
      <c r="AJ9" s="367" t="str">
        <f>'IDS Admin Dispensing'!AJ9</f>
        <v/>
      </c>
      <c r="AK9" s="367" t="str">
        <f>'IDS Admin Dispensing'!AK9</f>
        <v/>
      </c>
    </row>
    <row r="10" spans="1:136" ht="30" hidden="1" customHeight="1" x14ac:dyDescent="0.3">
      <c r="A10" s="390" t="s">
        <v>184</v>
      </c>
      <c r="B10" s="365" t="str">
        <f>IF('IDS Admin Dispensing'!B10="","",'IDS Admin Dispensing'!B10)</f>
        <v/>
      </c>
      <c r="C10" s="366"/>
      <c r="D10" s="367"/>
      <c r="E10" s="367"/>
      <c r="F10" s="365" t="str">
        <f>IF('IDS Admin Dispensing'!F10="","",'IDS Admin Dispensing'!F10)</f>
        <v/>
      </c>
      <c r="G10" s="366"/>
      <c r="H10" s="367"/>
      <c r="I10" s="367"/>
      <c r="J10" s="365" t="str">
        <f>IF('IDS Admin Dispensing'!J10="","",'IDS Admin Dispensing'!J10)</f>
        <v/>
      </c>
      <c r="K10" s="366"/>
      <c r="L10" s="367"/>
      <c r="M10" s="367"/>
      <c r="N10" s="365" t="str">
        <f>IF('IDS Admin Dispensing'!N10="","",'IDS Admin Dispensing'!N10)</f>
        <v/>
      </c>
      <c r="O10" s="366"/>
      <c r="P10" s="367"/>
      <c r="Q10" s="367"/>
      <c r="R10" s="365" t="str">
        <f>IF('IDS Admin Dispensing'!R10="","",'IDS Admin Dispensing'!R10)</f>
        <v/>
      </c>
      <c r="S10" s="366"/>
      <c r="T10" s="367"/>
      <c r="U10" s="367"/>
      <c r="V10" s="365" t="str">
        <f>IF('IDS Admin Dispensing'!V10="","",'IDS Admin Dispensing'!V10)</f>
        <v/>
      </c>
      <c r="W10" s="366"/>
      <c r="X10" s="367"/>
      <c r="Y10" s="367"/>
      <c r="Z10" s="365" t="str">
        <f>IF('IDS Admin Dispensing'!Z10="","",'IDS Admin Dispensing'!Z10)</f>
        <v/>
      </c>
      <c r="AA10" s="366"/>
      <c r="AB10" s="367"/>
      <c r="AC10" s="367"/>
      <c r="AD10" s="365" t="str">
        <f>IF('IDS Admin Dispensing'!AD10="","",'IDS Admin Dispensing'!AD10)</f>
        <v/>
      </c>
      <c r="AE10" s="366"/>
      <c r="AF10" s="367"/>
      <c r="AG10" s="367"/>
      <c r="AH10" s="365" t="str">
        <f>IF('IDS Admin Dispensing'!AH10="","",'IDS Admin Dispensing'!AH10)</f>
        <v/>
      </c>
      <c r="AI10" s="366"/>
      <c r="AJ10" s="367"/>
      <c r="AK10" s="367"/>
      <c r="AL10" s="272"/>
      <c r="AM10" s="272"/>
      <c r="AN10" s="272"/>
      <c r="AO10" s="272"/>
      <c r="AP10" s="272"/>
      <c r="AQ10" s="272"/>
      <c r="AR10" s="272"/>
      <c r="AS10" s="272"/>
      <c r="AT10" s="272"/>
      <c r="AU10" s="272"/>
      <c r="AV10" s="272"/>
      <c r="AW10" s="272"/>
      <c r="AX10" s="272"/>
      <c r="AY10" s="272"/>
      <c r="AZ10" s="272"/>
      <c r="BA10" s="272"/>
      <c r="BB10" s="272"/>
      <c r="BC10" s="272"/>
      <c r="BD10" s="272"/>
      <c r="BE10" s="272"/>
      <c r="BF10" s="272"/>
      <c r="BG10" s="272"/>
      <c r="BH10" s="272"/>
      <c r="BI10" s="272"/>
      <c r="BJ10" s="272"/>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2"/>
      <c r="CJ10" s="272"/>
      <c r="CK10" s="272"/>
      <c r="CL10" s="272"/>
      <c r="CM10" s="272"/>
      <c r="CN10" s="272"/>
      <c r="CO10" s="272"/>
      <c r="CP10" s="272"/>
      <c r="CQ10" s="272"/>
      <c r="CR10" s="272"/>
      <c r="CS10" s="272"/>
      <c r="CT10" s="272"/>
      <c r="CU10" s="272"/>
      <c r="CV10" s="272"/>
      <c r="CW10" s="272"/>
      <c r="CX10" s="272"/>
      <c r="CY10" s="272"/>
      <c r="CZ10" s="272"/>
      <c r="DA10" s="272"/>
      <c r="DB10" s="272"/>
      <c r="DC10" s="272"/>
      <c r="DD10" s="272"/>
      <c r="DE10" s="272"/>
      <c r="DF10" s="272"/>
      <c r="DG10" s="272"/>
      <c r="DH10" s="272"/>
      <c r="DI10" s="272"/>
      <c r="DJ10" s="272"/>
      <c r="DK10" s="272"/>
      <c r="DL10" s="272"/>
      <c r="DM10" s="272"/>
      <c r="DN10" s="272"/>
      <c r="DO10" s="272"/>
      <c r="DP10" s="272"/>
      <c r="DQ10" s="272"/>
      <c r="DR10" s="272"/>
      <c r="DS10" s="272"/>
      <c r="DT10" s="272"/>
      <c r="DU10" s="272"/>
      <c r="DV10" s="272"/>
      <c r="DW10" s="272"/>
      <c r="DX10" s="272"/>
      <c r="DY10" s="272"/>
      <c r="DZ10" s="272"/>
      <c r="EA10" s="272"/>
      <c r="EB10" s="272"/>
      <c r="EC10" s="272"/>
      <c r="ED10" s="272"/>
      <c r="EE10" s="272"/>
    </row>
    <row r="11" spans="1:136" hidden="1" x14ac:dyDescent="0.3">
      <c r="A11" s="388" t="s">
        <v>161</v>
      </c>
      <c r="B11" s="365" t="str">
        <f>IF('IDS Admin Dispensing'!B11="","",'IDS Admin Dispensing'!B11)</f>
        <v/>
      </c>
      <c r="C11" s="366">
        <f>'IDS Admin Dispensing'!C11</f>
        <v>0</v>
      </c>
      <c r="D11" s="367" t="str">
        <f>'IDS Admin Dispensing'!D11</f>
        <v/>
      </c>
      <c r="E11" s="367" t="str">
        <f>'IDS Admin Dispensing'!E11</f>
        <v/>
      </c>
      <c r="F11" s="365" t="str">
        <f>IF('IDS Admin Dispensing'!F11="","",'IDS Admin Dispensing'!F11)</f>
        <v/>
      </c>
      <c r="G11" s="366">
        <f>'IDS Admin Dispensing'!G11</f>
        <v>0</v>
      </c>
      <c r="H11" s="367" t="str">
        <f>'IDS Admin Dispensing'!H11</f>
        <v/>
      </c>
      <c r="I11" s="367" t="str">
        <f>'IDS Admin Dispensing'!I11</f>
        <v/>
      </c>
      <c r="J11" s="365" t="str">
        <f>IF('IDS Admin Dispensing'!J11="","",'IDS Admin Dispensing'!J11)</f>
        <v/>
      </c>
      <c r="K11" s="366">
        <f>'IDS Admin Dispensing'!K11</f>
        <v>0</v>
      </c>
      <c r="L11" s="367" t="str">
        <f>'IDS Admin Dispensing'!L11</f>
        <v/>
      </c>
      <c r="M11" s="367" t="str">
        <f>'IDS Admin Dispensing'!M11</f>
        <v/>
      </c>
      <c r="N11" s="365" t="str">
        <f>IF('IDS Admin Dispensing'!N11="","",'IDS Admin Dispensing'!N11)</f>
        <v/>
      </c>
      <c r="O11" s="366">
        <f>'IDS Admin Dispensing'!O11</f>
        <v>0</v>
      </c>
      <c r="P11" s="367" t="str">
        <f>'IDS Admin Dispensing'!P11</f>
        <v/>
      </c>
      <c r="Q11" s="367" t="str">
        <f>'IDS Admin Dispensing'!Q11</f>
        <v/>
      </c>
      <c r="R11" s="365" t="str">
        <f>IF('IDS Admin Dispensing'!R11="","",'IDS Admin Dispensing'!R11)</f>
        <v/>
      </c>
      <c r="S11" s="366">
        <f>'IDS Admin Dispensing'!S11</f>
        <v>0</v>
      </c>
      <c r="T11" s="367" t="str">
        <f>'IDS Admin Dispensing'!T11</f>
        <v/>
      </c>
      <c r="U11" s="367" t="str">
        <f>'IDS Admin Dispensing'!U11</f>
        <v/>
      </c>
      <c r="V11" s="365" t="str">
        <f>IF('IDS Admin Dispensing'!V11="","",'IDS Admin Dispensing'!V11)</f>
        <v/>
      </c>
      <c r="W11" s="366">
        <f>'IDS Admin Dispensing'!W11</f>
        <v>0</v>
      </c>
      <c r="X11" s="367" t="str">
        <f>'IDS Admin Dispensing'!X11</f>
        <v/>
      </c>
      <c r="Y11" s="367" t="str">
        <f>'IDS Admin Dispensing'!Y11</f>
        <v/>
      </c>
      <c r="Z11" s="365" t="str">
        <f>IF('IDS Admin Dispensing'!Z11="","",'IDS Admin Dispensing'!Z11)</f>
        <v/>
      </c>
      <c r="AA11" s="366">
        <f>'IDS Admin Dispensing'!AA11</f>
        <v>0</v>
      </c>
      <c r="AB11" s="367" t="str">
        <f>'IDS Admin Dispensing'!AB11</f>
        <v/>
      </c>
      <c r="AC11" s="367" t="str">
        <f>'IDS Admin Dispensing'!AC11</f>
        <v/>
      </c>
      <c r="AD11" s="365" t="str">
        <f>IF('IDS Admin Dispensing'!AD11="","",'IDS Admin Dispensing'!AD11)</f>
        <v/>
      </c>
      <c r="AE11" s="366">
        <f>'IDS Admin Dispensing'!AE11</f>
        <v>0</v>
      </c>
      <c r="AF11" s="367" t="str">
        <f>'IDS Admin Dispensing'!AF11</f>
        <v/>
      </c>
      <c r="AG11" s="367" t="str">
        <f>'IDS Admin Dispensing'!AG11</f>
        <v/>
      </c>
      <c r="AH11" s="365" t="str">
        <f>IF('IDS Admin Dispensing'!AH11="","",'IDS Admin Dispensing'!AH11)</f>
        <v/>
      </c>
      <c r="AI11" s="366">
        <f>'IDS Admin Dispensing'!AI11</f>
        <v>0</v>
      </c>
      <c r="AJ11" s="367" t="str">
        <f>'IDS Admin Dispensing'!AJ11</f>
        <v/>
      </c>
      <c r="AK11" s="367" t="str">
        <f>'IDS Admin Dispensing'!AK11</f>
        <v/>
      </c>
    </row>
    <row r="12" spans="1:136" hidden="1" x14ac:dyDescent="0.3">
      <c r="A12" s="387" t="s">
        <v>173</v>
      </c>
      <c r="B12" s="365" t="str">
        <f>IF('IDS Admin Dispensing'!B12="","",'IDS Admin Dispensing'!B12)</f>
        <v/>
      </c>
      <c r="C12" s="380">
        <f>'IDS Admin Dispensing'!C12</f>
        <v>0</v>
      </c>
      <c r="D12" s="370"/>
      <c r="E12" s="370"/>
      <c r="F12" s="365" t="str">
        <f>IF('IDS Admin Dispensing'!F12="","",'IDS Admin Dispensing'!F12)</f>
        <v/>
      </c>
      <c r="G12" s="380">
        <f>'IDS Admin Dispensing'!G12</f>
        <v>0</v>
      </c>
      <c r="H12" s="370"/>
      <c r="I12" s="370"/>
      <c r="J12" s="365" t="str">
        <f>IF('IDS Admin Dispensing'!J12="","",'IDS Admin Dispensing'!J12)</f>
        <v/>
      </c>
      <c r="K12" s="380">
        <f>'IDS Admin Dispensing'!K12</f>
        <v>0</v>
      </c>
      <c r="L12" s="370"/>
      <c r="M12" s="370"/>
      <c r="N12" s="365" t="str">
        <f>IF('IDS Admin Dispensing'!N12="","",'IDS Admin Dispensing'!N12)</f>
        <v/>
      </c>
      <c r="O12" s="380">
        <f>'IDS Admin Dispensing'!O12</f>
        <v>0</v>
      </c>
      <c r="P12" s="370"/>
      <c r="Q12" s="370"/>
      <c r="R12" s="365" t="str">
        <f>IF('IDS Admin Dispensing'!R12="","",'IDS Admin Dispensing'!R12)</f>
        <v/>
      </c>
      <c r="S12" s="380">
        <f>'IDS Admin Dispensing'!S12</f>
        <v>0</v>
      </c>
      <c r="T12" s="370"/>
      <c r="U12" s="370"/>
      <c r="V12" s="365" t="str">
        <f>IF('IDS Admin Dispensing'!V12="","",'IDS Admin Dispensing'!V12)</f>
        <v/>
      </c>
      <c r="W12" s="380">
        <f>'IDS Admin Dispensing'!W12</f>
        <v>0</v>
      </c>
      <c r="X12" s="370"/>
      <c r="Y12" s="370"/>
      <c r="Z12" s="365" t="str">
        <f>IF('IDS Admin Dispensing'!Z12="","",'IDS Admin Dispensing'!Z12)</f>
        <v/>
      </c>
      <c r="AA12" s="380">
        <f>'IDS Admin Dispensing'!AA12</f>
        <v>0</v>
      </c>
      <c r="AB12" s="370"/>
      <c r="AC12" s="370"/>
      <c r="AD12" s="365" t="str">
        <f>IF('IDS Admin Dispensing'!AD12="","",'IDS Admin Dispensing'!AD12)</f>
        <v/>
      </c>
      <c r="AE12" s="380">
        <f>'IDS Admin Dispensing'!AE12</f>
        <v>0</v>
      </c>
      <c r="AF12" s="370"/>
      <c r="AG12" s="370"/>
      <c r="AH12" s="365" t="str">
        <f>IF('IDS Admin Dispensing'!AH12="","",'IDS Admin Dispensing'!AH12)</f>
        <v/>
      </c>
      <c r="AI12" s="380">
        <f>'IDS Admin Dispensing'!AI12</f>
        <v>0</v>
      </c>
      <c r="AJ12"/>
      <c r="AK12"/>
    </row>
    <row r="13" spans="1:136" hidden="1" x14ac:dyDescent="0.3">
      <c r="A13" s="388" t="s">
        <v>163</v>
      </c>
      <c r="B13" s="365" t="str">
        <f>IF('IDS Admin Dispensing'!B13="","",'IDS Admin Dispensing'!B13)</f>
        <v/>
      </c>
      <c r="C13" s="380">
        <f>'IDS Admin Dispensing'!C13</f>
        <v>0</v>
      </c>
      <c r="D13" s="370"/>
      <c r="E13" s="370"/>
      <c r="F13" s="365" t="str">
        <f>IF('IDS Admin Dispensing'!F13="","",'IDS Admin Dispensing'!F13)</f>
        <v/>
      </c>
      <c r="G13" s="380">
        <f>'IDS Admin Dispensing'!G13</f>
        <v>0</v>
      </c>
      <c r="H13" s="370"/>
      <c r="I13" s="370"/>
      <c r="J13" s="365" t="str">
        <f>IF('IDS Admin Dispensing'!J13="","",'IDS Admin Dispensing'!J13)</f>
        <v/>
      </c>
      <c r="K13" s="380">
        <f>'IDS Admin Dispensing'!K13</f>
        <v>0</v>
      </c>
      <c r="L13" s="370"/>
      <c r="M13" s="370"/>
      <c r="N13" s="365" t="str">
        <f>IF('IDS Admin Dispensing'!N13="","",'IDS Admin Dispensing'!N13)</f>
        <v/>
      </c>
      <c r="O13" s="380">
        <f>'IDS Admin Dispensing'!O13</f>
        <v>0</v>
      </c>
      <c r="P13" s="370"/>
      <c r="Q13" s="370"/>
      <c r="R13" s="365" t="str">
        <f>IF('IDS Admin Dispensing'!R13="","",'IDS Admin Dispensing'!R13)</f>
        <v/>
      </c>
      <c r="S13" s="380">
        <f>'IDS Admin Dispensing'!S13</f>
        <v>0</v>
      </c>
      <c r="T13" s="370"/>
      <c r="U13" s="370"/>
      <c r="V13" s="365" t="str">
        <f>IF('IDS Admin Dispensing'!V13="","",'IDS Admin Dispensing'!V13)</f>
        <v/>
      </c>
      <c r="W13" s="380">
        <f>'IDS Admin Dispensing'!W13</f>
        <v>0</v>
      </c>
      <c r="X13" s="370"/>
      <c r="Y13" s="370"/>
      <c r="Z13" s="365" t="str">
        <f>IF('IDS Admin Dispensing'!Z13="","",'IDS Admin Dispensing'!Z13)</f>
        <v/>
      </c>
      <c r="AA13" s="380">
        <f>'IDS Admin Dispensing'!AA13</f>
        <v>0</v>
      </c>
      <c r="AB13" s="370"/>
      <c r="AC13" s="370"/>
      <c r="AD13" s="365" t="str">
        <f>IF('IDS Admin Dispensing'!AD13="","",'IDS Admin Dispensing'!AD13)</f>
        <v/>
      </c>
      <c r="AE13" s="380">
        <f>'IDS Admin Dispensing'!AE13</f>
        <v>0</v>
      </c>
      <c r="AF13" s="370"/>
      <c r="AG13" s="370"/>
      <c r="AH13" s="365" t="str">
        <f>IF('IDS Admin Dispensing'!AH13="","",'IDS Admin Dispensing'!AH13)</f>
        <v/>
      </c>
      <c r="AI13" s="380">
        <f>'IDS Admin Dispensing'!AI13</f>
        <v>0</v>
      </c>
      <c r="AJ13"/>
      <c r="AK13"/>
    </row>
    <row r="14" spans="1:136" hidden="1" x14ac:dyDescent="0.3">
      <c r="A14" s="388" t="s">
        <v>187</v>
      </c>
      <c r="B14" s="365" t="str">
        <f>IF('IDS Admin Dispensing'!B14="","",'IDS Admin Dispensing'!B14)</f>
        <v/>
      </c>
      <c r="C14" s="368"/>
      <c r="D14" s="370"/>
      <c r="E14" s="370"/>
      <c r="F14" s="365" t="str">
        <f>IF('IDS Admin Dispensing'!F14="","",'IDS Admin Dispensing'!F14)</f>
        <v/>
      </c>
      <c r="G14" s="368"/>
      <c r="H14" s="370"/>
      <c r="I14" s="370"/>
      <c r="J14" s="365" t="str">
        <f>IF('IDS Admin Dispensing'!J14="","",'IDS Admin Dispensing'!J14)</f>
        <v/>
      </c>
      <c r="K14" s="368"/>
      <c r="L14" s="370"/>
      <c r="M14" s="370"/>
      <c r="N14" s="365" t="str">
        <f>IF('IDS Admin Dispensing'!N14="","",'IDS Admin Dispensing'!N14)</f>
        <v/>
      </c>
      <c r="O14" s="368"/>
      <c r="P14" s="370"/>
      <c r="Q14" s="370"/>
      <c r="R14" s="365" t="str">
        <f>IF('IDS Admin Dispensing'!R14="","",'IDS Admin Dispensing'!R14)</f>
        <v/>
      </c>
      <c r="S14" s="368"/>
      <c r="T14" s="370"/>
      <c r="U14" s="370"/>
      <c r="V14" s="365" t="str">
        <f>IF('IDS Admin Dispensing'!V14="","",'IDS Admin Dispensing'!V14)</f>
        <v/>
      </c>
      <c r="W14" s="368"/>
      <c r="X14" s="370"/>
      <c r="Y14" s="370"/>
      <c r="Z14" s="365" t="str">
        <f>IF('IDS Admin Dispensing'!Z14="","",'IDS Admin Dispensing'!Z14)</f>
        <v/>
      </c>
      <c r="AA14" s="368"/>
      <c r="AB14" s="370"/>
      <c r="AC14" s="370"/>
      <c r="AD14" s="365" t="str">
        <f>IF('IDS Admin Dispensing'!AD14="","",'IDS Admin Dispensing'!AD14)</f>
        <v/>
      </c>
      <c r="AE14" s="368"/>
      <c r="AF14" s="370"/>
      <c r="AG14" s="370"/>
      <c r="AH14" s="365" t="str">
        <f>IF('IDS Admin Dispensing'!AH14="","",'IDS Admin Dispensing'!AH14)</f>
        <v/>
      </c>
      <c r="AI14" s="368"/>
      <c r="AJ14"/>
      <c r="AK14"/>
    </row>
    <row r="15" spans="1:136" ht="38.4" hidden="1" x14ac:dyDescent="0.3">
      <c r="A15" s="389" t="s">
        <v>304</v>
      </c>
      <c r="B15" s="365" t="str">
        <f>IF('IDS Admin Dispensing'!B15="","",'IDS Admin Dispensing'!B15)</f>
        <v/>
      </c>
      <c r="C15" s="380">
        <f>'IDS Admin Dispensing'!C15</f>
        <v>0</v>
      </c>
      <c r="D15" s="370"/>
      <c r="E15" s="370"/>
      <c r="F15" s="365" t="str">
        <f>IF('IDS Admin Dispensing'!F15="","",'IDS Admin Dispensing'!F15)</f>
        <v/>
      </c>
      <c r="G15" s="380">
        <f>'IDS Admin Dispensing'!G15</f>
        <v>0</v>
      </c>
      <c r="H15" s="370"/>
      <c r="I15" s="370"/>
      <c r="J15" s="365" t="str">
        <f>IF('IDS Admin Dispensing'!J15="","",'IDS Admin Dispensing'!J15)</f>
        <v/>
      </c>
      <c r="K15" s="380">
        <f>'IDS Admin Dispensing'!K15</f>
        <v>0</v>
      </c>
      <c r="L15" s="370"/>
      <c r="M15" s="370"/>
      <c r="N15" s="365" t="str">
        <f>IF('IDS Admin Dispensing'!N15="","",'IDS Admin Dispensing'!N15)</f>
        <v/>
      </c>
      <c r="O15" s="380">
        <f>'IDS Admin Dispensing'!O15</f>
        <v>0</v>
      </c>
      <c r="P15" s="370"/>
      <c r="Q15" s="370"/>
      <c r="R15" s="365" t="str">
        <f>IF('IDS Admin Dispensing'!R15="","",'IDS Admin Dispensing'!R15)</f>
        <v/>
      </c>
      <c r="S15" s="380">
        <f>'IDS Admin Dispensing'!S15</f>
        <v>0</v>
      </c>
      <c r="T15" s="370"/>
      <c r="U15" s="370"/>
      <c r="V15" s="365" t="str">
        <f>IF('IDS Admin Dispensing'!V15="","",'IDS Admin Dispensing'!V15)</f>
        <v/>
      </c>
      <c r="W15" s="380">
        <f>'IDS Admin Dispensing'!W15</f>
        <v>0</v>
      </c>
      <c r="X15" s="370"/>
      <c r="Y15" s="370"/>
      <c r="Z15" s="365" t="str">
        <f>IF('IDS Admin Dispensing'!Z15="","",'IDS Admin Dispensing'!Z15)</f>
        <v/>
      </c>
      <c r="AA15" s="380">
        <f>'IDS Admin Dispensing'!AA15</f>
        <v>0</v>
      </c>
      <c r="AB15" s="370"/>
      <c r="AC15" s="370"/>
      <c r="AD15" s="365" t="str">
        <f>IF('IDS Admin Dispensing'!AD15="","",'IDS Admin Dispensing'!AD15)</f>
        <v/>
      </c>
      <c r="AE15" s="380">
        <f>'IDS Admin Dispensing'!AE15</f>
        <v>0</v>
      </c>
      <c r="AF15" s="370"/>
      <c r="AG15" s="370"/>
      <c r="AH15" s="365" t="str">
        <f>IF('IDS Admin Dispensing'!AH15="","",'IDS Admin Dispensing'!AH15)</f>
        <v/>
      </c>
      <c r="AI15" s="380">
        <f>'IDS Admin Dispensing'!AI15</f>
        <v>0</v>
      </c>
      <c r="AJ15"/>
      <c r="AK15"/>
    </row>
    <row r="16" spans="1:136" hidden="1" x14ac:dyDescent="0.3">
      <c r="A16" s="388" t="s">
        <v>168</v>
      </c>
      <c r="B16" s="365" t="str">
        <f>IF('IDS Admin Dispensing'!B16="","",'IDS Admin Dispensing'!B16)</f>
        <v/>
      </c>
      <c r="C16" s="368"/>
      <c r="D16" s="370"/>
      <c r="E16" s="370"/>
      <c r="F16" s="365" t="str">
        <f>IF('IDS Admin Dispensing'!F16="","",'IDS Admin Dispensing'!F16)</f>
        <v/>
      </c>
      <c r="G16" s="368"/>
      <c r="H16" s="370"/>
      <c r="I16" s="370"/>
      <c r="J16" s="365" t="str">
        <f>IF('IDS Admin Dispensing'!J16="","",'IDS Admin Dispensing'!J16)</f>
        <v/>
      </c>
      <c r="K16" s="368"/>
      <c r="L16" s="370"/>
      <c r="M16" s="370"/>
      <c r="N16" s="365" t="str">
        <f>IF('IDS Admin Dispensing'!N16="","",'IDS Admin Dispensing'!N16)</f>
        <v/>
      </c>
      <c r="O16" s="368"/>
      <c r="P16" s="370"/>
      <c r="Q16" s="370"/>
      <c r="R16" s="365" t="str">
        <f>IF('IDS Admin Dispensing'!R16="","",'IDS Admin Dispensing'!R16)</f>
        <v/>
      </c>
      <c r="S16" s="368"/>
      <c r="T16" s="370"/>
      <c r="U16" s="370"/>
      <c r="V16" s="365" t="str">
        <f>IF('IDS Admin Dispensing'!V16="","",'IDS Admin Dispensing'!V16)</f>
        <v/>
      </c>
      <c r="W16" s="368"/>
      <c r="X16" s="370"/>
      <c r="Y16" s="370"/>
      <c r="Z16" s="365" t="str">
        <f>IF('IDS Admin Dispensing'!Z16="","",'IDS Admin Dispensing'!Z16)</f>
        <v/>
      </c>
      <c r="AA16" s="368"/>
      <c r="AB16" s="370"/>
      <c r="AC16" s="370"/>
      <c r="AD16" s="365" t="str">
        <f>IF('IDS Admin Dispensing'!AD16="","",'IDS Admin Dispensing'!AD16)</f>
        <v/>
      </c>
      <c r="AE16" s="368"/>
      <c r="AF16" s="370"/>
      <c r="AG16" s="370"/>
      <c r="AH16" s="365" t="str">
        <f>IF('IDS Admin Dispensing'!AH16="","",'IDS Admin Dispensing'!AH16)</f>
        <v/>
      </c>
      <c r="AI16" s="368"/>
      <c r="AJ16"/>
      <c r="AK16"/>
    </row>
    <row r="17" spans="1:37" hidden="1" x14ac:dyDescent="0.3">
      <c r="A17" s="391" t="s">
        <v>175</v>
      </c>
      <c r="B17" s="365" t="str">
        <f>IF('IDS Admin Dispensing'!B17="","",'IDS Admin Dispensing'!B17)</f>
        <v/>
      </c>
      <c r="C17" s="380">
        <f>'IDS Admin Dispensing'!C17</f>
        <v>0</v>
      </c>
      <c r="D17" s="370"/>
      <c r="E17" s="370"/>
      <c r="F17" s="365" t="str">
        <f>IF('IDS Admin Dispensing'!F17="","",'IDS Admin Dispensing'!F17)</f>
        <v/>
      </c>
      <c r="G17" s="380">
        <f>'IDS Admin Dispensing'!G17</f>
        <v>0</v>
      </c>
      <c r="H17" s="370"/>
      <c r="I17" s="370"/>
      <c r="J17" s="365" t="str">
        <f>IF('IDS Admin Dispensing'!J17="","",'IDS Admin Dispensing'!J17)</f>
        <v/>
      </c>
      <c r="K17" s="380">
        <f>'IDS Admin Dispensing'!K17</f>
        <v>0</v>
      </c>
      <c r="L17" s="370"/>
      <c r="M17" s="370"/>
      <c r="N17" s="365" t="str">
        <f>IF('IDS Admin Dispensing'!N17="","",'IDS Admin Dispensing'!N17)</f>
        <v/>
      </c>
      <c r="O17" s="380">
        <f>'IDS Admin Dispensing'!O17</f>
        <v>0</v>
      </c>
      <c r="P17" s="370"/>
      <c r="Q17" s="370"/>
      <c r="R17" s="365" t="str">
        <f>IF('IDS Admin Dispensing'!R17="","",'IDS Admin Dispensing'!R17)</f>
        <v/>
      </c>
      <c r="S17" s="380">
        <f>'IDS Admin Dispensing'!S17</f>
        <v>0</v>
      </c>
      <c r="T17" s="370"/>
      <c r="U17" s="370"/>
      <c r="V17" s="365" t="str">
        <f>IF('IDS Admin Dispensing'!V17="","",'IDS Admin Dispensing'!V17)</f>
        <v/>
      </c>
      <c r="W17" s="380">
        <f>'IDS Admin Dispensing'!W17</f>
        <v>0</v>
      </c>
      <c r="X17" s="370"/>
      <c r="Y17" s="370"/>
      <c r="Z17" s="365" t="str">
        <f>IF('IDS Admin Dispensing'!Z17="","",'IDS Admin Dispensing'!Z17)</f>
        <v/>
      </c>
      <c r="AA17" s="380">
        <f>'IDS Admin Dispensing'!AA17</f>
        <v>0</v>
      </c>
      <c r="AB17" s="370"/>
      <c r="AC17" s="370"/>
      <c r="AD17" s="365" t="str">
        <f>IF('IDS Admin Dispensing'!AD17="","",'IDS Admin Dispensing'!AD17)</f>
        <v/>
      </c>
      <c r="AE17" s="380">
        <f>'IDS Admin Dispensing'!AE17</f>
        <v>0</v>
      </c>
      <c r="AF17" s="370"/>
      <c r="AG17" s="370"/>
      <c r="AH17" s="365" t="str">
        <f>IF('IDS Admin Dispensing'!AH17="","",'IDS Admin Dispensing'!AH17)</f>
        <v/>
      </c>
      <c r="AI17" s="380">
        <f>'IDS Admin Dispensing'!AI17</f>
        <v>0</v>
      </c>
      <c r="AJ17"/>
      <c r="AK17"/>
    </row>
    <row r="18" spans="1:37" hidden="1" x14ac:dyDescent="0.3">
      <c r="A18" s="388" t="s">
        <v>169</v>
      </c>
      <c r="B18" s="365" t="str">
        <f>IF('IDS Admin Dispensing'!B18="","",'IDS Admin Dispensing'!B18)</f>
        <v/>
      </c>
      <c r="C18" s="380">
        <f>'IDS Admin Dispensing'!C18</f>
        <v>0</v>
      </c>
      <c r="D18" s="370"/>
      <c r="E18" s="370"/>
      <c r="F18" s="365" t="str">
        <f>IF('IDS Admin Dispensing'!F18="","",'IDS Admin Dispensing'!F18)</f>
        <v/>
      </c>
      <c r="G18" s="380">
        <f>'IDS Admin Dispensing'!G18</f>
        <v>0</v>
      </c>
      <c r="H18" s="370"/>
      <c r="I18" s="370"/>
      <c r="J18" s="365" t="str">
        <f>IF('IDS Admin Dispensing'!J18="","",'IDS Admin Dispensing'!J18)</f>
        <v/>
      </c>
      <c r="K18" s="380">
        <f>'IDS Admin Dispensing'!K18</f>
        <v>0</v>
      </c>
      <c r="L18" s="370"/>
      <c r="M18" s="370"/>
      <c r="N18" s="365" t="str">
        <f>IF('IDS Admin Dispensing'!N18="","",'IDS Admin Dispensing'!N18)</f>
        <v/>
      </c>
      <c r="O18" s="380">
        <f>'IDS Admin Dispensing'!O18</f>
        <v>0</v>
      </c>
      <c r="P18" s="370"/>
      <c r="Q18" s="370"/>
      <c r="R18" s="365" t="str">
        <f>IF('IDS Admin Dispensing'!R18="","",'IDS Admin Dispensing'!R18)</f>
        <v/>
      </c>
      <c r="S18" s="380">
        <f>'IDS Admin Dispensing'!S18</f>
        <v>0</v>
      </c>
      <c r="T18" s="370"/>
      <c r="U18" s="370"/>
      <c r="V18" s="365" t="str">
        <f>IF('IDS Admin Dispensing'!V18="","",'IDS Admin Dispensing'!V18)</f>
        <v/>
      </c>
      <c r="W18" s="380">
        <f>'IDS Admin Dispensing'!W18</f>
        <v>0</v>
      </c>
      <c r="X18" s="370"/>
      <c r="Y18" s="370"/>
      <c r="Z18" s="365" t="str">
        <f>IF('IDS Admin Dispensing'!Z18="","",'IDS Admin Dispensing'!Z18)</f>
        <v/>
      </c>
      <c r="AA18" s="380">
        <f>'IDS Admin Dispensing'!AA18</f>
        <v>0</v>
      </c>
      <c r="AB18" s="370"/>
      <c r="AC18" s="370"/>
      <c r="AD18" s="365" t="str">
        <f>IF('IDS Admin Dispensing'!AD18="","",'IDS Admin Dispensing'!AD18)</f>
        <v/>
      </c>
      <c r="AE18" s="380">
        <f>'IDS Admin Dispensing'!AE18</f>
        <v>0</v>
      </c>
      <c r="AF18" s="370"/>
      <c r="AG18" s="370"/>
      <c r="AH18" s="365" t="str">
        <f>IF('IDS Admin Dispensing'!AH18="","",'IDS Admin Dispensing'!AH18)</f>
        <v/>
      </c>
      <c r="AI18" s="380">
        <f>'IDS Admin Dispensing'!AI18</f>
        <v>0</v>
      </c>
      <c r="AJ18"/>
      <c r="AK18"/>
    </row>
    <row r="19" spans="1:37" ht="27.6" hidden="1" x14ac:dyDescent="0.3">
      <c r="A19" s="387" t="s">
        <v>170</v>
      </c>
      <c r="B19" s="365"/>
      <c r="C19" s="380">
        <f>'IDS Admin Dispensing'!C19</f>
        <v>0</v>
      </c>
      <c r="D19" s="370"/>
      <c r="E19" s="370"/>
      <c r="F19" s="365" t="str">
        <f>IF('IDS Admin Dispensing'!F19="","",'IDS Admin Dispensing'!F19)</f>
        <v/>
      </c>
      <c r="G19" s="380">
        <f>'IDS Admin Dispensing'!G19</f>
        <v>0</v>
      </c>
      <c r="H19" s="370"/>
      <c r="I19" s="370"/>
      <c r="J19" s="365" t="str">
        <f>IF('IDS Admin Dispensing'!J19="","",'IDS Admin Dispensing'!J19)</f>
        <v/>
      </c>
      <c r="K19" s="380">
        <f>'IDS Admin Dispensing'!K19</f>
        <v>0</v>
      </c>
      <c r="L19" s="370"/>
      <c r="M19" s="370"/>
      <c r="N19" s="365" t="str">
        <f>IF('IDS Admin Dispensing'!N19="","",'IDS Admin Dispensing'!N19)</f>
        <v/>
      </c>
      <c r="O19" s="380">
        <f>'IDS Admin Dispensing'!O19</f>
        <v>0</v>
      </c>
      <c r="P19" s="370"/>
      <c r="Q19" s="370"/>
      <c r="R19" s="365" t="str">
        <f>IF('IDS Admin Dispensing'!R19="","",'IDS Admin Dispensing'!R19)</f>
        <v/>
      </c>
      <c r="S19" s="380">
        <f>'IDS Admin Dispensing'!S19</f>
        <v>0</v>
      </c>
      <c r="T19" s="370"/>
      <c r="U19" s="370"/>
      <c r="V19" s="365" t="str">
        <f>IF('IDS Admin Dispensing'!V19="","",'IDS Admin Dispensing'!V19)</f>
        <v/>
      </c>
      <c r="W19" s="380">
        <f>'IDS Admin Dispensing'!W19</f>
        <v>0</v>
      </c>
      <c r="X19" s="370"/>
      <c r="Y19" s="370"/>
      <c r="Z19" s="365" t="str">
        <f>IF('IDS Admin Dispensing'!Z19="","",'IDS Admin Dispensing'!Z19)</f>
        <v/>
      </c>
      <c r="AA19" s="380">
        <f>'IDS Admin Dispensing'!AA19</f>
        <v>0</v>
      </c>
      <c r="AB19" s="370"/>
      <c r="AC19" s="370"/>
      <c r="AD19" s="365" t="str">
        <f>IF('IDS Admin Dispensing'!AD19="","",'IDS Admin Dispensing'!AD19)</f>
        <v/>
      </c>
      <c r="AE19" s="380">
        <f>'IDS Admin Dispensing'!AE19</f>
        <v>0</v>
      </c>
      <c r="AF19" s="370"/>
      <c r="AG19" s="370"/>
      <c r="AH19" s="365" t="str">
        <f>IF('IDS Admin Dispensing'!AH19="","",'IDS Admin Dispensing'!AH19)</f>
        <v/>
      </c>
      <c r="AI19" s="380">
        <f>'IDS Admin Dispensing'!AI19</f>
        <v>0</v>
      </c>
      <c r="AJ19"/>
      <c r="AK19"/>
    </row>
    <row r="20" spans="1:37" hidden="1" x14ac:dyDescent="0.3">
      <c r="A20" s="388" t="s">
        <v>186</v>
      </c>
      <c r="B20" s="365" t="str">
        <f>IF('IDS Admin Dispensing'!B20="","",'IDS Admin Dispensing'!B20)</f>
        <v/>
      </c>
      <c r="C20" s="380">
        <f>'IDS Admin Dispensing'!C20</f>
        <v>0</v>
      </c>
      <c r="D20" s="370"/>
      <c r="E20" s="370"/>
      <c r="F20" s="365" t="str">
        <f>IF('IDS Admin Dispensing'!F20="","",'IDS Admin Dispensing'!F20)</f>
        <v/>
      </c>
      <c r="G20" s="380">
        <f>'IDS Admin Dispensing'!G20</f>
        <v>0</v>
      </c>
      <c r="H20" s="370"/>
      <c r="I20" s="370"/>
      <c r="J20" s="365" t="str">
        <f>IF('IDS Admin Dispensing'!J20="","",'IDS Admin Dispensing'!J20)</f>
        <v/>
      </c>
      <c r="K20" s="380">
        <f>'IDS Admin Dispensing'!K20</f>
        <v>0</v>
      </c>
      <c r="L20" s="370"/>
      <c r="M20" s="370"/>
      <c r="N20" s="365" t="str">
        <f>IF('IDS Admin Dispensing'!N20="","",'IDS Admin Dispensing'!N20)</f>
        <v/>
      </c>
      <c r="O20" s="380">
        <f>'IDS Admin Dispensing'!O20</f>
        <v>0</v>
      </c>
      <c r="P20" s="370"/>
      <c r="Q20" s="370"/>
      <c r="R20" s="365" t="str">
        <f>IF('IDS Admin Dispensing'!R20="","",'IDS Admin Dispensing'!R20)</f>
        <v/>
      </c>
      <c r="S20" s="380">
        <f>'IDS Admin Dispensing'!S20</f>
        <v>0</v>
      </c>
      <c r="T20" s="370"/>
      <c r="U20" s="370"/>
      <c r="V20" s="365" t="str">
        <f>IF('IDS Admin Dispensing'!V20="","",'IDS Admin Dispensing'!V20)</f>
        <v/>
      </c>
      <c r="W20" s="380">
        <f>'IDS Admin Dispensing'!W20</f>
        <v>0</v>
      </c>
      <c r="X20" s="370"/>
      <c r="Y20" s="370"/>
      <c r="Z20" s="365" t="str">
        <f>IF('IDS Admin Dispensing'!Z20="","",'IDS Admin Dispensing'!Z20)</f>
        <v/>
      </c>
      <c r="AA20" s="380">
        <f>'IDS Admin Dispensing'!AA20</f>
        <v>0</v>
      </c>
      <c r="AB20" s="370"/>
      <c r="AC20" s="370"/>
      <c r="AD20" s="365" t="str">
        <f>IF('IDS Admin Dispensing'!AD20="","",'IDS Admin Dispensing'!AD20)</f>
        <v/>
      </c>
      <c r="AE20" s="380">
        <f>'IDS Admin Dispensing'!AE20</f>
        <v>0</v>
      </c>
      <c r="AF20" s="370"/>
      <c r="AG20" s="370"/>
      <c r="AH20" s="365" t="str">
        <f>IF('IDS Admin Dispensing'!AH20="","",'IDS Admin Dispensing'!AH20)</f>
        <v/>
      </c>
      <c r="AI20" s="380">
        <f>'IDS Admin Dispensing'!AI20</f>
        <v>0</v>
      </c>
      <c r="AJ20"/>
      <c r="AK20"/>
    </row>
    <row r="21" spans="1:37" ht="19.8" hidden="1" customHeight="1" x14ac:dyDescent="0.3">
      <c r="A21" s="392" t="s">
        <v>292</v>
      </c>
      <c r="B21" s="365" t="str">
        <f>IF('IDS Admin Dispensing'!B21="","",'IDS Admin Dispensing'!B21)</f>
        <v/>
      </c>
      <c r="C21" s="380">
        <f>'IDS Admin Dispensing'!C21</f>
        <v>0</v>
      </c>
      <c r="D21" s="372"/>
      <c r="E21" s="372"/>
      <c r="F21" s="365" t="str">
        <f>IF('IDS Admin Dispensing'!F21="","",'IDS Admin Dispensing'!F21)</f>
        <v/>
      </c>
      <c r="G21" s="380">
        <f>'IDS Admin Dispensing'!G21</f>
        <v>0</v>
      </c>
      <c r="H21" s="372"/>
      <c r="I21" s="372"/>
      <c r="J21" s="365" t="str">
        <f>IF('IDS Admin Dispensing'!J21="","",'IDS Admin Dispensing'!J21)</f>
        <v/>
      </c>
      <c r="K21" s="380">
        <f>'IDS Admin Dispensing'!K21</f>
        <v>0</v>
      </c>
      <c r="L21" s="372"/>
      <c r="M21" s="372"/>
      <c r="N21" s="365" t="str">
        <f>IF('IDS Admin Dispensing'!N21="","",'IDS Admin Dispensing'!N21)</f>
        <v/>
      </c>
      <c r="O21" s="380">
        <f>'IDS Admin Dispensing'!O21</f>
        <v>0</v>
      </c>
      <c r="P21" s="372"/>
      <c r="Q21" s="372"/>
      <c r="R21" s="365" t="str">
        <f>IF('IDS Admin Dispensing'!R21="","",'IDS Admin Dispensing'!R21)</f>
        <v/>
      </c>
      <c r="S21" s="380">
        <f>'IDS Admin Dispensing'!S21</f>
        <v>0</v>
      </c>
      <c r="T21" s="373"/>
      <c r="U21" s="373"/>
      <c r="V21" s="365" t="str">
        <f>IF('IDS Admin Dispensing'!V21="","",'IDS Admin Dispensing'!V21)</f>
        <v/>
      </c>
      <c r="W21" s="380">
        <f>'IDS Admin Dispensing'!W21</f>
        <v>0</v>
      </c>
      <c r="X21" s="373"/>
      <c r="Y21" s="373"/>
      <c r="Z21" s="365" t="str">
        <f>IF('IDS Admin Dispensing'!Z21="","",'IDS Admin Dispensing'!Z21)</f>
        <v/>
      </c>
      <c r="AA21" s="380">
        <f>'IDS Admin Dispensing'!AA21</f>
        <v>0</v>
      </c>
      <c r="AB21" s="373"/>
      <c r="AC21" s="373"/>
      <c r="AD21" s="365" t="str">
        <f>IF('IDS Admin Dispensing'!AD21="","",'IDS Admin Dispensing'!AD21)</f>
        <v/>
      </c>
      <c r="AE21" s="380">
        <f>'IDS Admin Dispensing'!AE21</f>
        <v>0</v>
      </c>
      <c r="AF21" s="373"/>
      <c r="AG21" s="373"/>
      <c r="AH21" s="365" t="str">
        <f>IF('IDS Admin Dispensing'!AH21="","",'IDS Admin Dispensing'!AH21)</f>
        <v/>
      </c>
      <c r="AI21" s="380">
        <f>'IDS Admin Dispensing'!AI21</f>
        <v>0</v>
      </c>
      <c r="AJ21"/>
      <c r="AK21"/>
    </row>
    <row r="22" spans="1:37" ht="43.2" hidden="1" customHeight="1" x14ac:dyDescent="0.3">
      <c r="A22" s="393" t="s">
        <v>174</v>
      </c>
      <c r="B22" s="365" t="str">
        <f>IF('IDS Admin Dispensing'!B22="","",'IDS Admin Dispensing'!B22)</f>
        <v/>
      </c>
      <c r="C22" s="380">
        <f>'IDS Admin Dispensing'!C22</f>
        <v>0</v>
      </c>
      <c r="D22" s="374"/>
      <c r="E22" s="374"/>
      <c r="F22" s="365" t="str">
        <f>IF('IDS Admin Dispensing'!F22="","",'IDS Admin Dispensing'!F22)</f>
        <v/>
      </c>
      <c r="G22" s="380">
        <f>'IDS Admin Dispensing'!G22</f>
        <v>0</v>
      </c>
      <c r="H22" s="374"/>
      <c r="I22" s="374"/>
      <c r="J22" s="365" t="str">
        <f>IF('IDS Admin Dispensing'!J22="","",'IDS Admin Dispensing'!J22)</f>
        <v/>
      </c>
      <c r="K22" s="380">
        <f>'IDS Admin Dispensing'!K22</f>
        <v>0</v>
      </c>
      <c r="L22" s="374"/>
      <c r="M22" s="374"/>
      <c r="N22" s="365" t="str">
        <f>IF('IDS Admin Dispensing'!N22="","",'IDS Admin Dispensing'!N22)</f>
        <v/>
      </c>
      <c r="O22" s="380">
        <f>'IDS Admin Dispensing'!O22</f>
        <v>0</v>
      </c>
      <c r="P22" s="374"/>
      <c r="Q22" s="374"/>
      <c r="R22" s="365" t="str">
        <f>IF('IDS Admin Dispensing'!R22="","",'IDS Admin Dispensing'!R22)</f>
        <v/>
      </c>
      <c r="S22" s="380">
        <f>'IDS Admin Dispensing'!S22</f>
        <v>0</v>
      </c>
      <c r="T22" s="375"/>
      <c r="U22" s="375"/>
      <c r="V22" s="365" t="str">
        <f>IF('IDS Admin Dispensing'!V22="","",'IDS Admin Dispensing'!V22)</f>
        <v/>
      </c>
      <c r="W22" s="380">
        <f>'IDS Admin Dispensing'!W22</f>
        <v>0</v>
      </c>
      <c r="X22" s="375"/>
      <c r="Y22" s="375"/>
      <c r="Z22" s="365" t="str">
        <f>IF('IDS Admin Dispensing'!Z22="","",'IDS Admin Dispensing'!Z22)</f>
        <v/>
      </c>
      <c r="AA22" s="380">
        <f>'IDS Admin Dispensing'!AA22</f>
        <v>0</v>
      </c>
      <c r="AB22" s="375"/>
      <c r="AC22" s="375"/>
      <c r="AD22" s="365" t="str">
        <f>IF('IDS Admin Dispensing'!AD22="","",'IDS Admin Dispensing'!AD22)</f>
        <v/>
      </c>
      <c r="AE22" s="380">
        <f>'IDS Admin Dispensing'!AE22</f>
        <v>0</v>
      </c>
      <c r="AF22" s="375"/>
      <c r="AG22" s="375"/>
      <c r="AH22" s="365" t="str">
        <f>IF('IDS Admin Dispensing'!AH22="","",'IDS Admin Dispensing'!AH22)</f>
        <v/>
      </c>
      <c r="AI22" s="380">
        <f>'IDS Admin Dispensing'!AI22</f>
        <v>0</v>
      </c>
      <c r="AJ22"/>
      <c r="AK22"/>
    </row>
    <row r="23" spans="1:37" hidden="1" x14ac:dyDescent="0.3">
      <c r="A23" s="394"/>
      <c r="B23" s="264"/>
      <c r="C23" s="384">
        <f>'IDS Admin Dispensing'!C23</f>
        <v>0</v>
      </c>
      <c r="D23" s="11"/>
      <c r="E23" s="11"/>
      <c r="F23" s="327"/>
      <c r="G23" s="384">
        <f>'IDS Admin Dispensing'!G23</f>
        <v>0</v>
      </c>
      <c r="H23" s="11"/>
      <c r="I23" s="11"/>
      <c r="J23" s="327"/>
      <c r="K23" s="384">
        <f>'IDS Admin Dispensing'!K23</f>
        <v>0</v>
      </c>
      <c r="L23"/>
      <c r="M23"/>
      <c r="N23" s="327"/>
      <c r="O23" s="384">
        <f>'IDS Admin Dispensing'!O23</f>
        <v>0</v>
      </c>
      <c r="P23"/>
      <c r="Q23"/>
      <c r="R23" s="327"/>
      <c r="S23" s="384">
        <f>'IDS Admin Dispensing'!S23</f>
        <v>0</v>
      </c>
      <c r="T23"/>
      <c r="U23"/>
      <c r="V23" s="327"/>
      <c r="W23" s="384">
        <f>'IDS Admin Dispensing'!W23</f>
        <v>0</v>
      </c>
      <c r="X23"/>
      <c r="Y23"/>
      <c r="Z23" s="327"/>
      <c r="AA23" s="384">
        <f>'IDS Admin Dispensing'!AA23</f>
        <v>0</v>
      </c>
      <c r="AB23"/>
      <c r="AC23"/>
      <c r="AD23" s="327"/>
      <c r="AE23" s="384">
        <f>'IDS Admin Dispensing'!AE23</f>
        <v>0</v>
      </c>
      <c r="AF23"/>
      <c r="AG23"/>
      <c r="AH23" s="327"/>
      <c r="AI23" s="384">
        <f>'IDS Admin Dispensing'!AI23</f>
        <v>0</v>
      </c>
      <c r="AJ23"/>
      <c r="AK23"/>
    </row>
    <row r="24" spans="1:37" hidden="1" x14ac:dyDescent="0.3">
      <c r="A24" s="395"/>
      <c r="B24" s="232"/>
      <c r="F24" s="238"/>
      <c r="J24" s="229"/>
      <c r="N24" s="116"/>
      <c r="R24" s="116"/>
      <c r="V24" s="116"/>
      <c r="Z24" s="116"/>
      <c r="AD24" s="116"/>
      <c r="AH24" s="116"/>
    </row>
    <row r="25" spans="1:37" hidden="1" x14ac:dyDescent="0.3">
      <c r="A25" s="396"/>
      <c r="B25" s="235"/>
      <c r="F25" s="239"/>
      <c r="J25" s="229"/>
      <c r="N25" s="116"/>
      <c r="R25" s="116"/>
      <c r="V25" s="116"/>
      <c r="Z25" s="116"/>
      <c r="AD25" s="116"/>
      <c r="AH25" s="116"/>
    </row>
    <row r="26" spans="1:37" hidden="1" x14ac:dyDescent="0.3">
      <c r="A26" s="397"/>
      <c r="B26" s="233"/>
      <c r="F26" s="239"/>
      <c r="J26" s="229"/>
      <c r="N26" s="116"/>
      <c r="R26" s="116"/>
      <c r="V26" s="116"/>
      <c r="Z26" s="116"/>
      <c r="AD26" s="116"/>
      <c r="AH26" s="116"/>
    </row>
    <row r="27" spans="1:37" hidden="1" x14ac:dyDescent="0.3">
      <c r="A27" s="398"/>
      <c r="B27" s="236"/>
      <c r="F27" s="239"/>
      <c r="J27" s="229"/>
      <c r="N27" s="116"/>
      <c r="R27" s="116"/>
      <c r="V27" s="116"/>
      <c r="Z27" s="116"/>
      <c r="AD27" s="116"/>
      <c r="AH27" s="116"/>
    </row>
    <row r="28" spans="1:37" hidden="1" x14ac:dyDescent="0.3">
      <c r="A28" s="398"/>
      <c r="B28" s="236"/>
      <c r="F28" s="239"/>
      <c r="J28" s="229"/>
      <c r="N28" s="116"/>
      <c r="R28" s="116"/>
      <c r="V28" s="116"/>
      <c r="Z28" s="116"/>
      <c r="AD28" s="116"/>
      <c r="AH28" s="116"/>
    </row>
    <row r="29" spans="1:37" hidden="1" x14ac:dyDescent="0.3">
      <c r="A29" s="398"/>
      <c r="B29" s="236"/>
      <c r="F29" s="239"/>
      <c r="J29" s="229"/>
      <c r="N29" s="116"/>
      <c r="R29" s="116"/>
      <c r="V29" s="116"/>
      <c r="Z29" s="116"/>
      <c r="AD29" s="116"/>
      <c r="AH29" s="116"/>
    </row>
    <row r="30" spans="1:37" hidden="1" x14ac:dyDescent="0.3">
      <c r="A30" s="398"/>
      <c r="B30" s="236"/>
      <c r="F30" s="239"/>
      <c r="J30" s="229"/>
      <c r="N30" s="116"/>
      <c r="R30" s="116"/>
      <c r="V30" s="116"/>
      <c r="Z30" s="116"/>
      <c r="AD30" s="116"/>
      <c r="AH30" s="116"/>
    </row>
    <row r="31" spans="1:37" hidden="1" x14ac:dyDescent="0.3">
      <c r="A31" s="398"/>
      <c r="B31" s="236"/>
      <c r="F31" s="239"/>
      <c r="J31" s="229"/>
      <c r="N31" s="116"/>
      <c r="R31" s="116"/>
      <c r="V31" s="116"/>
      <c r="Z31" s="116"/>
      <c r="AD31" s="116"/>
      <c r="AH31" s="116"/>
    </row>
    <row r="32" spans="1:37" hidden="1" x14ac:dyDescent="0.3">
      <c r="A32" s="398"/>
      <c r="B32" s="236"/>
      <c r="F32" s="239"/>
      <c r="J32" s="229"/>
      <c r="N32" s="116"/>
      <c r="R32" s="116"/>
      <c r="V32" s="116"/>
      <c r="Z32" s="116"/>
      <c r="AD32" s="116"/>
      <c r="AH32" s="116"/>
    </row>
    <row r="33" spans="1:38" hidden="1" x14ac:dyDescent="0.3">
      <c r="A33" s="398"/>
      <c r="B33" s="236"/>
      <c r="F33" s="239"/>
      <c r="J33" s="229"/>
      <c r="N33" s="116"/>
      <c r="R33" s="116"/>
      <c r="V33" s="116"/>
      <c r="Z33" s="116"/>
      <c r="AD33" s="116"/>
      <c r="AH33" s="116"/>
    </row>
    <row r="34" spans="1:38" hidden="1" x14ac:dyDescent="0.3">
      <c r="A34" s="398"/>
      <c r="B34" s="236"/>
      <c r="F34" s="239"/>
      <c r="J34" s="229"/>
      <c r="N34" s="116"/>
      <c r="R34" s="116"/>
      <c r="V34" s="116"/>
      <c r="Z34" s="116"/>
      <c r="AD34" s="116"/>
      <c r="AH34" s="116"/>
    </row>
    <row r="35" spans="1:38" hidden="1" x14ac:dyDescent="0.3">
      <c r="A35" s="398"/>
      <c r="B35" s="236"/>
      <c r="F35" s="239"/>
      <c r="J35" s="229"/>
      <c r="N35" s="116"/>
      <c r="R35" s="116"/>
      <c r="V35" s="116"/>
      <c r="Z35" s="116"/>
      <c r="AD35" s="116"/>
      <c r="AH35" s="116"/>
    </row>
    <row r="36" spans="1:38" hidden="1" x14ac:dyDescent="0.3">
      <c r="A36" s="398"/>
      <c r="B36" s="236"/>
      <c r="F36" s="239"/>
      <c r="J36" s="229"/>
      <c r="N36" s="116"/>
      <c r="R36" s="116"/>
      <c r="V36" s="116"/>
      <c r="Z36" s="116"/>
      <c r="AD36" s="116"/>
      <c r="AH36" s="116"/>
    </row>
    <row r="37" spans="1:38" hidden="1" x14ac:dyDescent="0.3">
      <c r="A37" s="399"/>
      <c r="B37" s="237"/>
      <c r="F37" s="240"/>
      <c r="J37" s="242"/>
      <c r="N37" s="118"/>
      <c r="R37" s="118"/>
      <c r="V37" s="118"/>
      <c r="Z37" s="118"/>
      <c r="AD37" s="118"/>
      <c r="AH37" s="118"/>
    </row>
    <row r="38" spans="1:38" hidden="1" x14ac:dyDescent="0.3">
      <c r="A38" s="400"/>
      <c r="B38" s="224" t="str">
        <f>IF(C8=1,"",CONCATENATE(VLOOKUP(1,C5:E11,2,FALSE)," - ",VLOOKUP(1,C5:E11,3,FALSE)))</f>
        <v/>
      </c>
      <c r="C38" s="94"/>
      <c r="F38" s="353" t="str">
        <f>IF(G8=1,"",CONCATENATE(VLOOKUP(1,G5:I11,2,FALSE)," - ",VLOOKUP(1,G5:I11,3,FALSE)))</f>
        <v/>
      </c>
      <c r="G38" s="94"/>
      <c r="J38" s="353" t="str">
        <f>IF(K8=1,"",CONCATENATE(VLOOKUP(1,K5:M11,2,FALSE)," - ",VLOOKUP(1,K5:M11,3,FALSE)))</f>
        <v/>
      </c>
      <c r="K38" s="94"/>
      <c r="N38" s="353" t="str">
        <f>IF(O8=1,"",CONCATENATE(VLOOKUP(1,O5:Q11,2,FALSE)," - ",VLOOKUP(1,O5:Q11,3,FALSE)))</f>
        <v/>
      </c>
      <c r="O38" s="94"/>
      <c r="R38" s="353" t="str">
        <f>IF(S8=1,"",CONCATENATE(VLOOKUP(1,S5:U11,2,FALSE)," - ",VLOOKUP(1,S5:U11,3,FALSE)))</f>
        <v/>
      </c>
      <c r="S38" s="94"/>
      <c r="V38" s="353" t="str">
        <f>IF(W8=1,"",CONCATENATE(VLOOKUP(1,W5:Y11,2,FALSE)," - ",VLOOKUP(1,W5:Y11,3,FALSE)))</f>
        <v/>
      </c>
      <c r="W38" s="94"/>
      <c r="Z38" s="353" t="str">
        <f>IF(AA8=1,"",CONCATENATE(VLOOKUP(1,AA5:AC11,2,FALSE)," - ",VLOOKUP(1,AA5:AC11,3,FALSE)))</f>
        <v/>
      </c>
      <c r="AA38" s="94"/>
      <c r="AD38" s="353" t="str">
        <f>IF(AE8=1,"",CONCATENATE(VLOOKUP(1,AE5:AG11,2,FALSE)," - ",VLOOKUP(1,AE5:AG11,3,FALSE)))</f>
        <v/>
      </c>
      <c r="AE38" s="94"/>
      <c r="AH38" s="353" t="str">
        <f>IF(AI8=1,"",CONCATENATE(VLOOKUP(1,AI5:AK11,2,FALSE)," - ",VLOOKUP(1,AI5:AK11,3,FALSE)))</f>
        <v/>
      </c>
      <c r="AI38" s="94"/>
    </row>
    <row r="39" spans="1:38" hidden="1" x14ac:dyDescent="0.3">
      <c r="A39" s="6"/>
      <c r="B39" s="11" t="s">
        <v>156</v>
      </c>
      <c r="C39" s="223" t="str">
        <f>IF(D5="Outpatient Rx",E8,IF(D9="Sterile Prep",C23,IF(D11="Sterile Prep",C23,"")))</f>
        <v/>
      </c>
      <c r="F39" s="11" t="s">
        <v>156</v>
      </c>
      <c r="G39" s="285" t="str">
        <f>IF(H5="Outpatient Rx",I8,IF(H9="Sterile Prep",G23,IF(H11="Sterile Prep",G23,"")))</f>
        <v/>
      </c>
      <c r="J39" s="11" t="s">
        <v>156</v>
      </c>
      <c r="K39" s="285" t="str">
        <f>IF(L5="Outpatient Rx",M8,IF(L9="Sterile Prep",K23,IF(L11="Sterile Prep",K23,"")))</f>
        <v/>
      </c>
      <c r="N39" s="11" t="s">
        <v>156</v>
      </c>
      <c r="O39" s="285" t="str">
        <f>IF(P5="Outpatient Rx",Q8,IF(P9="Sterile Prep",O23,IF(P11="Sterile Prep",O23,"")))</f>
        <v/>
      </c>
      <c r="R39" s="11" t="s">
        <v>156</v>
      </c>
      <c r="S39" s="285" t="str">
        <f>IF(T5="Outpatient Rx",U8,IF(T9="Sterile Prep",S23,IF(T11="Sterile Prep",S23,"")))</f>
        <v/>
      </c>
      <c r="V39" s="11" t="s">
        <v>156</v>
      </c>
      <c r="W39" s="285" t="str">
        <f>IF(X5="Outpatient Rx",Y8,IF(X9="Sterile Prep",W23,IF(X11="Sterile Prep",W23,"")))</f>
        <v/>
      </c>
      <c r="Z39" s="11" t="s">
        <v>156</v>
      </c>
      <c r="AA39" s="285" t="str">
        <f>IF(AB5="Outpatient Rx",AC8,IF(AB9="Sterile Prep",AA23,IF(AB11="Sterile Prep",AA23,"")))</f>
        <v/>
      </c>
      <c r="AD39" s="11" t="s">
        <v>156</v>
      </c>
      <c r="AE39" s="285" t="str">
        <f>IF(AF5="Outpatient Rx",AG8,IF(AF9="Sterile Prep",AE23,IF(AF11="Sterile Prep",AE23,"")))</f>
        <v/>
      </c>
      <c r="AH39" s="11" t="s">
        <v>156</v>
      </c>
      <c r="AI39" s="285" t="str">
        <f>IF(AJ5="Outpatient Rx",AK8,IF(AJ9="Sterile Prep",AI23,IF(AJ11="Sterile Prep",AI23,"")))</f>
        <v/>
      </c>
    </row>
    <row r="40" spans="1:38" ht="94.8" customHeight="1" x14ac:dyDescent="0.3">
      <c r="A40" s="401" t="s">
        <v>185</v>
      </c>
      <c r="B40" s="291"/>
      <c r="C40" s="292"/>
      <c r="D40" s="292"/>
      <c r="E40" s="292"/>
      <c r="F40" s="288"/>
      <c r="G40" s="292"/>
      <c r="H40" s="292"/>
      <c r="I40" s="292"/>
      <c r="J40" s="288"/>
      <c r="K40" s="292"/>
      <c r="L40" s="292"/>
      <c r="M40" s="292"/>
      <c r="N40" s="288"/>
      <c r="O40" s="292"/>
      <c r="P40" s="292"/>
      <c r="Q40" s="292"/>
      <c r="R40" s="288"/>
      <c r="S40" s="292"/>
      <c r="T40" s="292"/>
      <c r="U40" s="292"/>
      <c r="V40" s="288"/>
      <c r="W40" s="292"/>
      <c r="X40" s="292"/>
      <c r="Y40" s="292"/>
      <c r="Z40" s="288"/>
      <c r="AA40" s="292"/>
      <c r="AB40" s="292"/>
      <c r="AC40" s="292"/>
      <c r="AD40" s="288"/>
      <c r="AE40" s="292"/>
      <c r="AF40" s="292"/>
      <c r="AG40" s="292"/>
      <c r="AH40" s="293"/>
      <c r="AI40" s="94"/>
      <c r="AJ40" s="94"/>
      <c r="AK40" s="94"/>
      <c r="AL40" s="94"/>
    </row>
    <row r="41" spans="1:38" ht="27.6" x14ac:dyDescent="0.3">
      <c r="A41" s="409"/>
      <c r="B41" s="402" t="s">
        <v>291</v>
      </c>
      <c r="C41" s="265"/>
      <c r="D41" s="11"/>
      <c r="E41" s="11"/>
      <c r="F41" s="327" t="s">
        <v>291</v>
      </c>
      <c r="G41" s="265"/>
      <c r="H41" s="11"/>
      <c r="I41" s="11"/>
      <c r="J41" s="327" t="s">
        <v>291</v>
      </c>
      <c r="K41" s="265"/>
      <c r="L41"/>
      <c r="M41"/>
      <c r="N41" s="327" t="s">
        <v>291</v>
      </c>
      <c r="O41" s="265"/>
      <c r="P41"/>
      <c r="Q41"/>
      <c r="R41" s="327" t="s">
        <v>291</v>
      </c>
      <c r="S41" s="265"/>
      <c r="T41"/>
      <c r="U41"/>
      <c r="V41" s="327" t="s">
        <v>291</v>
      </c>
      <c r="W41" s="265"/>
      <c r="X41"/>
      <c r="Y41"/>
      <c r="Z41" s="327" t="s">
        <v>291</v>
      </c>
      <c r="AA41" s="265"/>
      <c r="AB41"/>
      <c r="AC41"/>
      <c r="AD41" s="327" t="s">
        <v>291</v>
      </c>
      <c r="AE41" s="265"/>
      <c r="AF41"/>
      <c r="AG41"/>
      <c r="AH41" s="327" t="s">
        <v>291</v>
      </c>
    </row>
    <row r="42" spans="1:38" x14ac:dyDescent="0.3">
      <c r="A42" s="410"/>
      <c r="B42" s="403"/>
      <c r="C42" s="285"/>
      <c r="F42" s="238"/>
      <c r="G42" s="285"/>
      <c r="H42" s="285"/>
      <c r="I42" s="285"/>
      <c r="J42" s="229"/>
      <c r="K42" s="285"/>
      <c r="L42" s="285"/>
      <c r="M42" s="285"/>
      <c r="N42" s="116"/>
      <c r="O42" s="285"/>
      <c r="P42" s="285"/>
      <c r="Q42" s="285"/>
      <c r="R42" s="116"/>
      <c r="S42" s="285"/>
      <c r="T42" s="285"/>
      <c r="U42" s="285"/>
      <c r="V42" s="116"/>
      <c r="W42" s="285"/>
      <c r="X42" s="285"/>
      <c r="Y42" s="285"/>
      <c r="Z42" s="116"/>
      <c r="AA42" s="285"/>
      <c r="AB42" s="285"/>
      <c r="AC42" s="285"/>
      <c r="AD42" s="116"/>
      <c r="AE42" s="285"/>
      <c r="AF42" s="285"/>
      <c r="AG42" s="285"/>
      <c r="AH42" s="116"/>
    </row>
    <row r="43" spans="1:38" x14ac:dyDescent="0.3">
      <c r="A43" s="411"/>
      <c r="B43" s="404"/>
      <c r="C43" s="285"/>
      <c r="F43" s="239"/>
      <c r="G43" s="285"/>
      <c r="H43" s="285"/>
      <c r="I43" s="285"/>
      <c r="J43" s="229"/>
      <c r="K43" s="285"/>
      <c r="L43" s="285"/>
      <c r="M43" s="285"/>
      <c r="N43" s="116"/>
      <c r="O43" s="285"/>
      <c r="P43" s="285"/>
      <c r="Q43" s="285"/>
      <c r="R43" s="116"/>
      <c r="S43" s="285"/>
      <c r="T43" s="285"/>
      <c r="U43" s="285"/>
      <c r="V43" s="116"/>
      <c r="W43" s="285"/>
      <c r="X43" s="285"/>
      <c r="Y43" s="285"/>
      <c r="Z43" s="116"/>
      <c r="AA43" s="285"/>
      <c r="AB43" s="285"/>
      <c r="AC43" s="285"/>
      <c r="AD43" s="116"/>
      <c r="AE43" s="285"/>
      <c r="AF43" s="285"/>
      <c r="AG43" s="285"/>
      <c r="AH43" s="116"/>
    </row>
    <row r="44" spans="1:38" x14ac:dyDescent="0.3">
      <c r="A44" s="412"/>
      <c r="B44" s="405"/>
      <c r="C44" s="285"/>
      <c r="F44" s="239"/>
      <c r="G44" s="285"/>
      <c r="H44" s="285"/>
      <c r="I44" s="285"/>
      <c r="J44" s="229"/>
      <c r="K44" s="285"/>
      <c r="L44" s="285"/>
      <c r="M44" s="285"/>
      <c r="N44" s="116"/>
      <c r="O44" s="285"/>
      <c r="P44" s="285"/>
      <c r="Q44" s="285"/>
      <c r="R44" s="116"/>
      <c r="S44" s="285"/>
      <c r="T44" s="285"/>
      <c r="U44" s="285"/>
      <c r="V44" s="116"/>
      <c r="W44" s="285"/>
      <c r="X44" s="285"/>
      <c r="Y44" s="285"/>
      <c r="Z44" s="116"/>
      <c r="AA44" s="285"/>
      <c r="AB44" s="285"/>
      <c r="AC44" s="285"/>
      <c r="AD44" s="116"/>
      <c r="AE44" s="285"/>
      <c r="AF44" s="285"/>
      <c r="AG44" s="285"/>
      <c r="AH44" s="116"/>
    </row>
    <row r="45" spans="1:38" x14ac:dyDescent="0.3">
      <c r="A45" s="413"/>
      <c r="B45" s="406"/>
      <c r="C45" s="285"/>
      <c r="F45" s="239"/>
      <c r="G45" s="285"/>
      <c r="H45" s="285"/>
      <c r="I45" s="285"/>
      <c r="J45" s="229"/>
      <c r="K45" s="285"/>
      <c r="L45" s="285"/>
      <c r="M45" s="285"/>
      <c r="N45" s="116"/>
      <c r="O45" s="285"/>
      <c r="P45" s="285"/>
      <c r="Q45" s="285"/>
      <c r="R45" s="116"/>
      <c r="S45" s="285"/>
      <c r="T45" s="285"/>
      <c r="U45" s="285"/>
      <c r="V45" s="116"/>
      <c r="W45" s="285"/>
      <c r="X45" s="285"/>
      <c r="Y45" s="285"/>
      <c r="Z45" s="116"/>
      <c r="AA45" s="285"/>
      <c r="AB45" s="285"/>
      <c r="AC45" s="285"/>
      <c r="AD45" s="116"/>
      <c r="AE45" s="285"/>
      <c r="AF45" s="285"/>
      <c r="AG45" s="285"/>
      <c r="AH45" s="116"/>
    </row>
    <row r="46" spans="1:38" x14ac:dyDescent="0.3">
      <c r="A46" s="413"/>
      <c r="B46" s="406"/>
      <c r="C46" s="285"/>
      <c r="F46" s="239"/>
      <c r="G46" s="285"/>
      <c r="H46" s="285"/>
      <c r="I46" s="285"/>
      <c r="J46" s="229"/>
      <c r="K46" s="285"/>
      <c r="L46" s="285"/>
      <c r="M46" s="285"/>
      <c r="N46" s="116"/>
      <c r="O46" s="285"/>
      <c r="P46" s="285"/>
      <c r="Q46" s="285"/>
      <c r="R46" s="116"/>
      <c r="S46" s="285"/>
      <c r="T46" s="285"/>
      <c r="U46" s="285"/>
      <c r="V46" s="116"/>
      <c r="W46" s="285"/>
      <c r="X46" s="285"/>
      <c r="Y46" s="285"/>
      <c r="Z46" s="116"/>
      <c r="AA46" s="285"/>
      <c r="AB46" s="285"/>
      <c r="AC46" s="285"/>
      <c r="AD46" s="116"/>
      <c r="AE46" s="285"/>
      <c r="AF46" s="285"/>
      <c r="AG46" s="285"/>
      <c r="AH46" s="116"/>
    </row>
    <row r="47" spans="1:38" x14ac:dyDescent="0.3">
      <c r="A47" s="413"/>
      <c r="B47" s="406"/>
      <c r="C47" s="285"/>
      <c r="F47" s="239"/>
      <c r="G47" s="285"/>
      <c r="H47" s="285"/>
      <c r="I47" s="285"/>
      <c r="J47" s="229"/>
      <c r="K47" s="285"/>
      <c r="L47" s="285"/>
      <c r="M47" s="285"/>
      <c r="N47" s="116"/>
      <c r="O47" s="285"/>
      <c r="P47" s="285"/>
      <c r="Q47" s="285"/>
      <c r="R47" s="116"/>
      <c r="S47" s="285"/>
      <c r="T47" s="285"/>
      <c r="U47" s="285"/>
      <c r="V47" s="116"/>
      <c r="W47" s="285"/>
      <c r="X47" s="285"/>
      <c r="Y47" s="285"/>
      <c r="Z47" s="116"/>
      <c r="AA47" s="285"/>
      <c r="AB47" s="285"/>
      <c r="AC47" s="285"/>
      <c r="AD47" s="116"/>
      <c r="AE47" s="285"/>
      <c r="AF47" s="285"/>
      <c r="AG47" s="285"/>
      <c r="AH47" s="116"/>
    </row>
    <row r="48" spans="1:38" x14ac:dyDescent="0.3">
      <c r="A48" s="413"/>
      <c r="B48" s="406"/>
      <c r="C48" s="285"/>
      <c r="F48" s="239"/>
      <c r="G48" s="285"/>
      <c r="H48" s="285"/>
      <c r="I48" s="285"/>
      <c r="J48" s="229"/>
      <c r="K48" s="285"/>
      <c r="L48" s="285"/>
      <c r="M48" s="285"/>
      <c r="N48" s="116"/>
      <c r="O48" s="285"/>
      <c r="P48" s="285"/>
      <c r="Q48" s="285"/>
      <c r="R48" s="116"/>
      <c r="S48" s="285"/>
      <c r="T48" s="285"/>
      <c r="U48" s="285"/>
      <c r="V48" s="116"/>
      <c r="W48" s="285"/>
      <c r="X48" s="285"/>
      <c r="Y48" s="285"/>
      <c r="Z48" s="116"/>
      <c r="AA48" s="285"/>
      <c r="AB48" s="285"/>
      <c r="AC48" s="285"/>
      <c r="AD48" s="116"/>
      <c r="AE48" s="285"/>
      <c r="AF48" s="285"/>
      <c r="AG48" s="285"/>
      <c r="AH48" s="116"/>
    </row>
    <row r="49" spans="1:37" x14ac:dyDescent="0.3">
      <c r="A49" s="413"/>
      <c r="B49" s="406"/>
      <c r="C49" s="285"/>
      <c r="F49" s="239"/>
      <c r="G49" s="285"/>
      <c r="H49" s="285"/>
      <c r="I49" s="285"/>
      <c r="J49" s="229"/>
      <c r="K49" s="285"/>
      <c r="L49" s="285"/>
      <c r="M49" s="285"/>
      <c r="N49" s="116"/>
      <c r="O49" s="285"/>
      <c r="P49" s="285"/>
      <c r="Q49" s="285"/>
      <c r="R49" s="116"/>
      <c r="S49" s="285"/>
      <c r="T49" s="285"/>
      <c r="U49" s="285"/>
      <c r="V49" s="116"/>
      <c r="W49" s="285"/>
      <c r="X49" s="285"/>
      <c r="Y49" s="285"/>
      <c r="Z49" s="116"/>
      <c r="AA49" s="285"/>
      <c r="AB49" s="285"/>
      <c r="AC49" s="285"/>
      <c r="AD49" s="116"/>
      <c r="AE49" s="285"/>
      <c r="AF49" s="285"/>
      <c r="AG49" s="285"/>
      <c r="AH49" s="116"/>
    </row>
    <row r="50" spans="1:37" x14ac:dyDescent="0.3">
      <c r="A50" s="413"/>
      <c r="B50" s="406"/>
      <c r="C50" s="285"/>
      <c r="F50" s="239"/>
      <c r="G50" s="285"/>
      <c r="H50" s="285"/>
      <c r="I50" s="285"/>
      <c r="J50" s="229"/>
      <c r="K50" s="285"/>
      <c r="L50" s="285"/>
      <c r="M50" s="285"/>
      <c r="N50" s="116"/>
      <c r="O50" s="285"/>
      <c r="P50" s="285"/>
      <c r="Q50" s="285"/>
      <c r="R50" s="116"/>
      <c r="S50" s="285"/>
      <c r="T50" s="285"/>
      <c r="U50" s="285"/>
      <c r="V50" s="116"/>
      <c r="W50" s="285"/>
      <c r="X50" s="285"/>
      <c r="Y50" s="285"/>
      <c r="Z50" s="116"/>
      <c r="AA50" s="285"/>
      <c r="AB50" s="285"/>
      <c r="AC50" s="285"/>
      <c r="AD50" s="116"/>
      <c r="AE50" s="285"/>
      <c r="AF50" s="285"/>
      <c r="AG50" s="285"/>
      <c r="AH50" s="116"/>
    </row>
    <row r="51" spans="1:37" x14ac:dyDescent="0.3">
      <c r="A51" s="413"/>
      <c r="B51" s="406"/>
      <c r="C51" s="285"/>
      <c r="F51" s="239"/>
      <c r="G51" s="285"/>
      <c r="H51" s="285"/>
      <c r="I51" s="285"/>
      <c r="J51" s="229"/>
      <c r="K51" s="285"/>
      <c r="L51" s="285"/>
      <c r="M51" s="285"/>
      <c r="N51" s="116"/>
      <c r="O51" s="285"/>
      <c r="P51" s="285"/>
      <c r="Q51" s="285"/>
      <c r="R51" s="116"/>
      <c r="S51" s="285"/>
      <c r="T51" s="285"/>
      <c r="U51" s="285"/>
      <c r="V51" s="116"/>
      <c r="W51" s="285"/>
      <c r="X51" s="285"/>
      <c r="Y51" s="285"/>
      <c r="Z51" s="116"/>
      <c r="AA51" s="285"/>
      <c r="AB51" s="285"/>
      <c r="AC51" s="285"/>
      <c r="AD51" s="116"/>
      <c r="AE51" s="285"/>
      <c r="AF51" s="285"/>
      <c r="AG51" s="285"/>
      <c r="AH51" s="116"/>
    </row>
    <row r="52" spans="1:37" x14ac:dyDescent="0.3">
      <c r="A52" s="413"/>
      <c r="B52" s="406"/>
      <c r="C52" s="285"/>
      <c r="F52" s="239"/>
      <c r="G52" s="285"/>
      <c r="H52" s="285"/>
      <c r="I52" s="285"/>
      <c r="J52" s="229"/>
      <c r="K52" s="285"/>
      <c r="L52" s="285"/>
      <c r="M52" s="285"/>
      <c r="N52" s="116"/>
      <c r="O52" s="285"/>
      <c r="P52" s="285"/>
      <c r="Q52" s="285"/>
      <c r="R52" s="116"/>
      <c r="S52" s="285"/>
      <c r="T52" s="285"/>
      <c r="U52" s="285"/>
      <c r="V52" s="116"/>
      <c r="W52" s="285"/>
      <c r="X52" s="285"/>
      <c r="Y52" s="285"/>
      <c r="Z52" s="116"/>
      <c r="AA52" s="285"/>
      <c r="AB52" s="285"/>
      <c r="AC52" s="285"/>
      <c r="AD52" s="116"/>
      <c r="AE52" s="285"/>
      <c r="AF52" s="285"/>
      <c r="AG52" s="285"/>
      <c r="AH52" s="116"/>
    </row>
    <row r="53" spans="1:37" x14ac:dyDescent="0.3">
      <c r="A53" s="413"/>
      <c r="B53" s="406"/>
      <c r="C53" s="285"/>
      <c r="F53" s="239"/>
      <c r="G53" s="285"/>
      <c r="H53" s="285"/>
      <c r="I53" s="285"/>
      <c r="J53" s="229"/>
      <c r="K53" s="285"/>
      <c r="L53" s="285"/>
      <c r="M53" s="285"/>
      <c r="N53" s="116"/>
      <c r="O53" s="285"/>
      <c r="P53" s="285"/>
      <c r="Q53" s="285"/>
      <c r="R53" s="116"/>
      <c r="S53" s="285"/>
      <c r="T53" s="285"/>
      <c r="U53" s="285"/>
      <c r="V53" s="116"/>
      <c r="W53" s="285"/>
      <c r="X53" s="285"/>
      <c r="Y53" s="285"/>
      <c r="Z53" s="116"/>
      <c r="AA53" s="285"/>
      <c r="AB53" s="285"/>
      <c r="AC53" s="285"/>
      <c r="AD53" s="116"/>
      <c r="AE53" s="285"/>
      <c r="AF53" s="285"/>
      <c r="AG53" s="285"/>
      <c r="AH53" s="116"/>
    </row>
    <row r="54" spans="1:37" x14ac:dyDescent="0.3">
      <c r="A54" s="413"/>
      <c r="B54" s="406"/>
      <c r="C54" s="285"/>
      <c r="F54" s="239"/>
      <c r="G54" s="285"/>
      <c r="H54" s="285"/>
      <c r="I54" s="285"/>
      <c r="J54" s="229"/>
      <c r="K54" s="285"/>
      <c r="L54" s="285"/>
      <c r="M54" s="285"/>
      <c r="N54" s="116"/>
      <c r="O54" s="285"/>
      <c r="P54" s="285"/>
      <c r="Q54" s="285"/>
      <c r="R54" s="116"/>
      <c r="S54" s="285"/>
      <c r="T54" s="285"/>
      <c r="U54" s="285"/>
      <c r="V54" s="116"/>
      <c r="W54" s="285"/>
      <c r="X54" s="285"/>
      <c r="Y54" s="285"/>
      <c r="Z54" s="116"/>
      <c r="AA54" s="285"/>
      <c r="AB54" s="285"/>
      <c r="AC54" s="285"/>
      <c r="AD54" s="116"/>
      <c r="AE54" s="285"/>
      <c r="AF54" s="285"/>
      <c r="AG54" s="285"/>
      <c r="AH54" s="116"/>
    </row>
    <row r="55" spans="1:37" x14ac:dyDescent="0.3">
      <c r="A55" s="414"/>
      <c r="B55" s="407"/>
      <c r="C55" s="285"/>
      <c r="E55" t="str">
        <f>'IDS Admin Dispensing'!E55</f>
        <v/>
      </c>
      <c r="F55" s="240"/>
      <c r="G55" s="285"/>
      <c r="H55" s="285"/>
      <c r="I55" t="str">
        <f>IF(F1="","",IF(I5="Simple",0,IF(OR(I5="Moderate",I11="Simple",I9="Simple"),1,IF(OR(I5="Complex",I11="Moderate",I9="Moderate"),2,IF(OR(I5="Very Complex",I11="Complex",I9="Complex"),3,IF(OR(I11="Very Complex",I9="Very Complex"),4,5))))))</f>
        <v/>
      </c>
      <c r="J55" s="242"/>
      <c r="K55" s="285"/>
      <c r="L55" s="285"/>
      <c r="M55" t="str">
        <f>IF(J1="","",IF(M5="Simple",0,IF(OR(M5="Moderate",M11="Simple",M9="Simple"),1,IF(OR(M5="Complex",M11="Moderate",M9="Moderate"),2,IF(OR(M5="Very Complex",M11="Complex",M9="Complex"),3,IF(OR(M11="Very Complex",M9="Very Complex"),4,5))))))</f>
        <v/>
      </c>
      <c r="N55" s="118"/>
      <c r="O55" s="285"/>
      <c r="P55" s="285"/>
      <c r="Q55" t="str">
        <f>IF(N1="","",IF(Q5="Simple",0,IF(OR(Q5="Moderate",Q11="Simple",Q9="Simple"),1,IF(OR(Q5="Complex",Q11="Moderate",Q9="Moderate"),2,IF(OR(Q5="Very Complex",Q11="Complex",Q9="Complex"),3,IF(OR(Q11="Very Complex",Q9="Very Complex"),4,5))))))</f>
        <v/>
      </c>
      <c r="R55" s="118"/>
      <c r="S55" s="285"/>
      <c r="T55" s="285"/>
      <c r="U55" t="str">
        <f>IF(R1="","",IF(U5="Simple",0,IF(OR(U5="Moderate",U11="Simple",U9="Simple"),1,IF(OR(U5="Complex",U11="Moderate",U9="Moderate"),2,IF(OR(U5="Very Complex",U11="Complex",U9="Complex"),3,IF(OR(U11="Very Complex",U9="Very Complex"),4,5))))))</f>
        <v/>
      </c>
      <c r="V55" s="118"/>
      <c r="W55" s="285"/>
      <c r="X55" s="285"/>
      <c r="Y55" t="str">
        <f>IF(V1="","",IF(Y5="Simple",0,IF(OR(Y5="Moderate",Y11="Simple",Y9="Simple"),1,IF(OR(Y5="Complex",Y11="Moderate",Y9="Moderate"),2,IF(OR(Y5="Very Complex",Y11="Complex",Y9="Complex"),3,IF(OR(Y11="Very Complex",Y9="Very Complex"),4,5))))))</f>
        <v/>
      </c>
      <c r="Z55" s="118"/>
      <c r="AA55" s="285"/>
      <c r="AB55" s="285"/>
      <c r="AC55" t="str">
        <f>IF(Z1="","",IF(AC5="Simple",0,IF(OR(AC5="Moderate",AC11="Simple",AC9="Simple"),1,IF(OR(AC5="Complex",AC11="Moderate",AC9="Moderate"),2,IF(OR(AC5="Very Complex",AC11="Complex",AC9="Complex"),3,IF(OR(AC11="Very Complex",AC9="Very Complex"),4,5))))))</f>
        <v/>
      </c>
      <c r="AD55" s="118"/>
      <c r="AE55" s="285"/>
      <c r="AF55" s="285"/>
      <c r="AG55" t="str">
        <f>IF(AD1="","",IF(AG5="Simple",0,IF(OR(AG5="Moderate",AG11="Simple",AG9="Simple"),1,IF(OR(AG5="Complex",AG11="Moderate",AG9="Moderate"),2,IF(OR(AG5="Very Complex",AG11="Complex",AG9="Complex"),3,IF(OR(AG11="Very Complex",AG9="Very Complex"),4,5))))))</f>
        <v/>
      </c>
      <c r="AH55" s="118"/>
      <c r="AK55" t="str">
        <f>IF(AH1="","",IF(AK5="Simple",0,IF(OR(AK5="Moderate",AK11="Simple"),1,IF(OR(AK5="Complex",AK11="Moderate"),2,IF(OR(AK5="Very Complex",AK11="Complex"),3,IF(AK11="Very Complex",4,5))))))</f>
        <v/>
      </c>
    </row>
  </sheetData>
  <sheetProtection algorithmName="SHA-512" hashValue="8RCHu9hl5CwVscfiAlO5DIe7wOgQrlhH9g2y5tKbqsrarSgVfWMluqlZ+ywcqibNXpoR4Q2jCqvjmojEIwKoIg==" saltValue="v46HPdbY/amNYWRpmHMH2w==" spinCount="100000" sheet="1" selectLockedCells="1"/>
  <dataValidations count="2">
    <dataValidation type="whole" allowBlank="1" showInputMessage="1" showErrorMessage="1" sqref="B2:B3 F2:F3 J2:J3 N2:N3 R2:R3 V2:V3 Z2:Z3 AD2:AD3 AH2:AH3" xr:uid="{5519428B-FDAB-43F0-8A40-E7AD2974FB52}">
      <formula1>1</formula1>
      <formula2>999</formula2>
    </dataValidation>
    <dataValidation type="list" allowBlank="1" showInputMessage="1" showErrorMessage="1" sqref="V4 R4 Z4 F4 N4 AD4 J4 AH4 B4" xr:uid="{CA751CFB-19BD-4BA6-9A58-EA38A264D15B}">
      <formula1>$EF$5:$EF$6</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8" tint="-0.249977111117893"/>
  </sheetPr>
  <dimension ref="A1:AI83"/>
  <sheetViews>
    <sheetView zoomScaleNormal="100" workbookViewId="0">
      <pane ySplit="1" topLeftCell="A2" activePane="bottomLeft" state="frozen"/>
      <selection activeCell="U13" sqref="U13"/>
      <selection pane="bottomLeft" activeCell="A4" sqref="A4:B4"/>
    </sheetView>
  </sheetViews>
  <sheetFormatPr defaultColWidth="8.77734375" defaultRowHeight="14.4" x14ac:dyDescent="0.3"/>
  <cols>
    <col min="1" max="1" width="26" customWidth="1"/>
    <col min="2" max="2" width="8.6640625" customWidth="1"/>
    <col min="3" max="3" width="8.77734375" customWidth="1"/>
    <col min="4" max="4" width="21.33203125" customWidth="1"/>
    <col min="5" max="5" width="9.88671875" customWidth="1"/>
    <col min="6" max="6" width="11.44140625" customWidth="1"/>
    <col min="7" max="7" width="9" customWidth="1"/>
    <col min="8" max="8" width="7.6640625" customWidth="1"/>
    <col min="9" max="9" width="8" customWidth="1"/>
    <col min="10" max="10" width="2.44140625" customWidth="1"/>
    <col min="11" max="11" width="10.6640625" style="7" customWidth="1"/>
    <col min="12" max="12" width="25.109375" style="1" customWidth="1"/>
    <col min="13" max="13" width="71.109375" style="1" customWidth="1"/>
    <col min="14" max="15" width="10.44140625" hidden="1" customWidth="1"/>
    <col min="16" max="16" width="11.44140625" hidden="1" customWidth="1"/>
    <col min="17" max="17" width="12" style="39" hidden="1" customWidth="1"/>
    <col min="18" max="21" width="11.44140625" style="39" hidden="1" customWidth="1"/>
    <col min="22" max="22" width="11.44140625" style="10" hidden="1" customWidth="1"/>
    <col min="23" max="23" width="8.77734375" style="39" hidden="1" customWidth="1"/>
    <col min="24" max="24" width="17.44140625" hidden="1" customWidth="1"/>
    <col min="25" max="25" width="8.77734375" hidden="1" customWidth="1"/>
    <col min="26" max="26" width="20" hidden="1" customWidth="1"/>
    <col min="27" max="27" width="17.77734375" hidden="1" customWidth="1"/>
    <col min="28" max="28" width="15.33203125" hidden="1" customWidth="1"/>
    <col min="29" max="29" width="47.5546875" hidden="1" customWidth="1"/>
    <col min="30" max="30" width="8.77734375" hidden="1" customWidth="1"/>
    <col min="31" max="31" width="11.21875" hidden="1" customWidth="1"/>
    <col min="32" max="33" width="8.77734375" hidden="1" customWidth="1"/>
    <col min="34" max="42" width="8.77734375" customWidth="1"/>
  </cols>
  <sheetData>
    <row r="1" spans="1:35" ht="25.2" customHeight="1" thickBot="1" x14ac:dyDescent="0.35">
      <c r="A1" s="573" t="s">
        <v>127</v>
      </c>
      <c r="B1" s="573"/>
      <c r="C1" s="573"/>
      <c r="D1" s="573"/>
      <c r="E1" s="573"/>
      <c r="F1" s="573"/>
      <c r="G1" s="573"/>
      <c r="H1" s="573"/>
      <c r="I1" s="574"/>
      <c r="J1" s="155"/>
      <c r="K1" s="137" t="s">
        <v>99</v>
      </c>
      <c r="L1" s="138" t="s">
        <v>7</v>
      </c>
      <c r="M1" s="139" t="s">
        <v>90</v>
      </c>
      <c r="N1" s="79" t="s">
        <v>137</v>
      </c>
      <c r="O1" s="80" t="s">
        <v>138</v>
      </c>
      <c r="P1" s="80" t="s">
        <v>139</v>
      </c>
      <c r="Q1" s="76" t="s">
        <v>107</v>
      </c>
      <c r="R1" s="77" t="s">
        <v>8</v>
      </c>
      <c r="S1" s="81" t="s">
        <v>108</v>
      </c>
      <c r="T1" s="158" t="s">
        <v>134</v>
      </c>
      <c r="U1" s="77" t="s">
        <v>101</v>
      </c>
      <c r="V1" s="81" t="s">
        <v>109</v>
      </c>
      <c r="W1" s="68" t="s">
        <v>48</v>
      </c>
      <c r="X1" s="10" t="str">
        <f>IF('Estimate Details'!C1="","",'Estimate Details'!C1)</f>
        <v/>
      </c>
      <c r="Z1" s="78" t="s">
        <v>110</v>
      </c>
      <c r="AA1" s="78" t="s">
        <v>111</v>
      </c>
      <c r="AB1" s="78" t="s">
        <v>8</v>
      </c>
    </row>
    <row r="2" spans="1:35" ht="27.45" customHeight="1" x14ac:dyDescent="0.35">
      <c r="A2" s="598" t="s">
        <v>155</v>
      </c>
      <c r="B2" s="599"/>
      <c r="C2" s="599"/>
      <c r="D2" s="600"/>
      <c r="E2" s="600"/>
      <c r="F2" s="600"/>
      <c r="G2" s="600"/>
      <c r="H2" s="600"/>
      <c r="I2" s="9"/>
      <c r="J2" s="155"/>
      <c r="K2" s="255" t="s">
        <v>62</v>
      </c>
      <c r="L2" s="256" t="s">
        <v>220</v>
      </c>
      <c r="M2" s="257" t="s">
        <v>288</v>
      </c>
      <c r="N2" s="67">
        <v>439</v>
      </c>
      <c r="O2" s="65">
        <v>726</v>
      </c>
      <c r="P2" s="65">
        <v>799</v>
      </c>
      <c r="Q2" s="69">
        <f>COUNTIF($A$4:$A$15,L2)</f>
        <v>0</v>
      </c>
      <c r="R2" s="70">
        <f>SUMIF($A$4:$A$15,L2,$C$4:$C$15)</f>
        <v>0</v>
      </c>
      <c r="S2" s="82">
        <f>IF($X$1="",0,IF($X$1="Non-Industry",N2,IF($X$1="Industry",O2,P2)))</f>
        <v>0</v>
      </c>
      <c r="T2" s="70"/>
      <c r="U2" s="70"/>
      <c r="V2" s="84">
        <f>Q2*R2*S2</f>
        <v>0</v>
      </c>
      <c r="W2" s="68" t="s">
        <v>49</v>
      </c>
      <c r="Z2" s="33" t="str">
        <f t="shared" ref="Z2:Z10" si="0">IF(B18="No",A18,"")</f>
        <v/>
      </c>
      <c r="AA2" s="35" t="str">
        <f t="shared" ref="AA2:AA10" si="1">IF(B18="No",E18,"")</f>
        <v/>
      </c>
      <c r="AB2" s="35" t="str">
        <f t="shared" ref="AB2:AB10" si="2">IF(B18="No",F18*H18,"")</f>
        <v/>
      </c>
    </row>
    <row r="3" spans="1:35" ht="25.2" customHeight="1" x14ac:dyDescent="0.3">
      <c r="A3" s="596" t="s">
        <v>112</v>
      </c>
      <c r="B3" s="597"/>
      <c r="C3" s="254" t="s">
        <v>8</v>
      </c>
      <c r="D3" s="594" t="s">
        <v>126</v>
      </c>
      <c r="E3" s="595"/>
      <c r="F3" s="595"/>
      <c r="G3" s="595"/>
      <c r="H3" s="595"/>
      <c r="I3" s="502"/>
      <c r="J3" s="155"/>
      <c r="K3" s="269" t="s">
        <v>62</v>
      </c>
      <c r="L3" s="270" t="s">
        <v>221</v>
      </c>
      <c r="M3" s="270" t="s">
        <v>281</v>
      </c>
      <c r="N3" s="168">
        <v>550</v>
      </c>
      <c r="O3" s="65">
        <v>911</v>
      </c>
      <c r="P3" s="65">
        <v>1001</v>
      </c>
      <c r="Q3" s="69">
        <f t="shared" ref="Q3:Q15" si="3">COUNTIF($A$4:$A$15,L3)</f>
        <v>0</v>
      </c>
      <c r="R3" s="70">
        <f t="shared" ref="R3:R15" si="4">SUMIF($A$4:$A$15,L3,$C$4:$C$15)</f>
        <v>0</v>
      </c>
      <c r="S3" s="82">
        <f t="shared" ref="S3:S45" si="5">IF($X$1="",0,IF($X$1="Non-Industry",N3,IF($X$1="Industry",O3,P3)))</f>
        <v>0</v>
      </c>
      <c r="T3" s="70"/>
      <c r="U3" s="70"/>
      <c r="V3" s="84">
        <f t="shared" ref="V3:V15" si="6">Q3*R3*S3</f>
        <v>0</v>
      </c>
      <c r="W3" s="68"/>
      <c r="Y3" s="96"/>
      <c r="Z3" s="33" t="str">
        <f t="shared" si="0"/>
        <v/>
      </c>
      <c r="AA3" s="33" t="str">
        <f t="shared" si="1"/>
        <v/>
      </c>
      <c r="AB3" s="33" t="str">
        <f t="shared" si="2"/>
        <v/>
      </c>
      <c r="AC3" s="11"/>
    </row>
    <row r="4" spans="1:35" ht="27" customHeight="1" x14ac:dyDescent="0.3">
      <c r="A4" s="605"/>
      <c r="B4" s="605"/>
      <c r="C4" s="345"/>
      <c r="D4" s="583"/>
      <c r="E4" s="584"/>
      <c r="F4" s="584"/>
      <c r="G4" s="584"/>
      <c r="H4" s="584"/>
      <c r="I4" s="585"/>
      <c r="J4" s="259"/>
      <c r="K4" s="269" t="s">
        <v>62</v>
      </c>
      <c r="L4" s="270" t="s">
        <v>282</v>
      </c>
      <c r="M4" s="270" t="s">
        <v>283</v>
      </c>
      <c r="N4" s="168">
        <v>99</v>
      </c>
      <c r="O4" s="65">
        <v>164</v>
      </c>
      <c r="P4" s="65">
        <v>180</v>
      </c>
      <c r="Q4" s="69">
        <f t="shared" si="3"/>
        <v>0</v>
      </c>
      <c r="R4" s="70">
        <f t="shared" si="4"/>
        <v>0</v>
      </c>
      <c r="S4" s="82">
        <f t="shared" si="5"/>
        <v>0</v>
      </c>
      <c r="T4" s="70"/>
      <c r="U4" s="70"/>
      <c r="V4" s="84">
        <f t="shared" si="6"/>
        <v>0</v>
      </c>
      <c r="W4" s="68"/>
      <c r="Y4" s="96"/>
      <c r="Z4" s="33" t="str">
        <f t="shared" si="0"/>
        <v/>
      </c>
      <c r="AA4" s="33" t="str">
        <f t="shared" si="1"/>
        <v/>
      </c>
      <c r="AB4" s="33" t="str">
        <f t="shared" si="2"/>
        <v/>
      </c>
    </row>
    <row r="5" spans="1:35" ht="27" customHeight="1" x14ac:dyDescent="0.3">
      <c r="A5" s="605"/>
      <c r="B5" s="610"/>
      <c r="C5" s="346"/>
      <c r="D5" s="586"/>
      <c r="E5" s="587"/>
      <c r="F5" s="587"/>
      <c r="G5" s="587"/>
      <c r="H5" s="587"/>
      <c r="I5" s="588"/>
      <c r="J5" s="259"/>
      <c r="K5" s="269" t="s">
        <v>62</v>
      </c>
      <c r="L5" s="270" t="s">
        <v>284</v>
      </c>
      <c r="M5" s="270" t="s">
        <v>285</v>
      </c>
      <c r="N5" s="168">
        <v>132</v>
      </c>
      <c r="O5" s="65">
        <v>219</v>
      </c>
      <c r="P5" s="65">
        <v>240</v>
      </c>
      <c r="Q5" s="69">
        <f t="shared" si="3"/>
        <v>0</v>
      </c>
      <c r="R5" s="70">
        <f t="shared" si="4"/>
        <v>0</v>
      </c>
      <c r="S5" s="82">
        <f t="shared" si="5"/>
        <v>0</v>
      </c>
      <c r="T5" s="70"/>
      <c r="U5" s="70"/>
      <c r="V5" s="84">
        <f t="shared" si="6"/>
        <v>0</v>
      </c>
      <c r="W5" s="68"/>
      <c r="Y5" s="96"/>
      <c r="Z5" s="33" t="str">
        <f t="shared" si="0"/>
        <v/>
      </c>
      <c r="AA5" s="33" t="str">
        <f t="shared" si="1"/>
        <v/>
      </c>
      <c r="AB5" s="33" t="str">
        <f t="shared" si="2"/>
        <v/>
      </c>
    </row>
    <row r="6" spans="1:35" ht="27" customHeight="1" x14ac:dyDescent="0.3">
      <c r="A6" s="605"/>
      <c r="B6" s="610"/>
      <c r="C6" s="346"/>
      <c r="D6" s="586"/>
      <c r="E6" s="587"/>
      <c r="F6" s="587"/>
      <c r="G6" s="587"/>
      <c r="H6" s="587"/>
      <c r="I6" s="588"/>
      <c r="J6" s="260"/>
      <c r="K6" s="269" t="s">
        <v>62</v>
      </c>
      <c r="L6" s="270" t="s">
        <v>317</v>
      </c>
      <c r="M6" s="270" t="s">
        <v>318</v>
      </c>
      <c r="N6" s="168">
        <v>1029</v>
      </c>
      <c r="O6" s="65">
        <v>1702</v>
      </c>
      <c r="P6" s="65">
        <v>1872</v>
      </c>
      <c r="Q6" s="69">
        <f t="shared" si="3"/>
        <v>0</v>
      </c>
      <c r="R6" s="70">
        <f t="shared" si="4"/>
        <v>0</v>
      </c>
      <c r="S6" s="82">
        <f t="shared" si="5"/>
        <v>0</v>
      </c>
      <c r="T6" s="70"/>
      <c r="U6" s="70"/>
      <c r="V6" s="84">
        <f t="shared" si="6"/>
        <v>0</v>
      </c>
      <c r="W6" s="68"/>
      <c r="Y6" s="96"/>
      <c r="Z6" s="33" t="str">
        <f t="shared" si="0"/>
        <v/>
      </c>
      <c r="AA6" s="33" t="str">
        <f t="shared" si="1"/>
        <v/>
      </c>
      <c r="AB6" s="33" t="str">
        <f t="shared" si="2"/>
        <v/>
      </c>
    </row>
    <row r="7" spans="1:35" ht="27" customHeight="1" x14ac:dyDescent="0.3">
      <c r="A7" s="605"/>
      <c r="B7" s="610"/>
      <c r="C7" s="346"/>
      <c r="D7" s="621"/>
      <c r="E7" s="605"/>
      <c r="F7" s="605"/>
      <c r="G7" s="605"/>
      <c r="H7" s="605"/>
      <c r="I7" s="622"/>
      <c r="J7" s="259"/>
      <c r="K7" s="269" t="s">
        <v>62</v>
      </c>
      <c r="L7" s="270" t="s">
        <v>141</v>
      </c>
      <c r="M7" s="270" t="s">
        <v>287</v>
      </c>
      <c r="N7" s="168">
        <v>9</v>
      </c>
      <c r="O7" s="65">
        <v>14</v>
      </c>
      <c r="P7" s="65">
        <v>17</v>
      </c>
      <c r="Q7" s="69">
        <f t="shared" si="3"/>
        <v>0</v>
      </c>
      <c r="R7" s="70">
        <f t="shared" si="4"/>
        <v>0</v>
      </c>
      <c r="S7" s="82">
        <f t="shared" si="5"/>
        <v>0</v>
      </c>
      <c r="T7" s="70"/>
      <c r="U7" s="70"/>
      <c r="V7" s="84">
        <f t="shared" si="6"/>
        <v>0</v>
      </c>
      <c r="W7" s="68"/>
      <c r="Y7" s="96"/>
      <c r="Z7" s="33" t="str">
        <f t="shared" si="0"/>
        <v/>
      </c>
      <c r="AA7" s="33" t="str">
        <f t="shared" si="1"/>
        <v/>
      </c>
      <c r="AB7" s="33" t="str">
        <f t="shared" si="2"/>
        <v/>
      </c>
    </row>
    <row r="8" spans="1:35" ht="27" customHeight="1" x14ac:dyDescent="0.3">
      <c r="A8" s="605"/>
      <c r="B8" s="610"/>
      <c r="C8" s="346"/>
      <c r="D8" s="621"/>
      <c r="E8" s="605"/>
      <c r="F8" s="605"/>
      <c r="G8" s="605"/>
      <c r="H8" s="605"/>
      <c r="I8" s="622"/>
      <c r="J8" s="159"/>
      <c r="K8" s="269" t="s">
        <v>62</v>
      </c>
      <c r="L8" s="270" t="s">
        <v>280</v>
      </c>
      <c r="M8" s="270" t="s">
        <v>294</v>
      </c>
      <c r="N8" s="168">
        <v>289</v>
      </c>
      <c r="O8" s="65">
        <v>479</v>
      </c>
      <c r="P8" s="65">
        <v>527</v>
      </c>
      <c r="Q8" s="69">
        <f t="shared" si="3"/>
        <v>0</v>
      </c>
      <c r="R8" s="70">
        <f t="shared" si="4"/>
        <v>0</v>
      </c>
      <c r="S8" s="82">
        <f t="shared" si="5"/>
        <v>0</v>
      </c>
      <c r="T8" s="69"/>
      <c r="U8" s="171"/>
      <c r="V8" s="84">
        <f t="shared" si="6"/>
        <v>0</v>
      </c>
      <c r="W8" s="68"/>
      <c r="Y8" s="96"/>
      <c r="Z8" s="33" t="str">
        <f t="shared" si="0"/>
        <v/>
      </c>
      <c r="AA8" s="33" t="str">
        <f t="shared" si="1"/>
        <v/>
      </c>
      <c r="AB8" s="33" t="str">
        <f t="shared" si="2"/>
        <v/>
      </c>
    </row>
    <row r="9" spans="1:35" ht="27.45" customHeight="1" x14ac:dyDescent="0.3">
      <c r="A9" s="605"/>
      <c r="B9" s="605"/>
      <c r="C9" s="346"/>
      <c r="D9" s="621"/>
      <c r="E9" s="605"/>
      <c r="F9" s="605"/>
      <c r="G9" s="605"/>
      <c r="H9" s="605"/>
      <c r="I9" s="622"/>
      <c r="J9" s="167"/>
      <c r="K9" s="269" t="s">
        <v>62</v>
      </c>
      <c r="L9" s="270" t="s">
        <v>309</v>
      </c>
      <c r="M9" s="270" t="s">
        <v>311</v>
      </c>
      <c r="N9" s="168">
        <v>21</v>
      </c>
      <c r="O9" s="65">
        <v>34</v>
      </c>
      <c r="P9" s="65">
        <v>39</v>
      </c>
      <c r="Q9" s="69">
        <f t="shared" si="3"/>
        <v>0</v>
      </c>
      <c r="R9" s="70">
        <f t="shared" si="4"/>
        <v>0</v>
      </c>
      <c r="S9" s="82">
        <f t="shared" si="5"/>
        <v>0</v>
      </c>
      <c r="T9" s="70"/>
      <c r="U9" s="170"/>
      <c r="V9" s="84">
        <f t="shared" si="6"/>
        <v>0</v>
      </c>
      <c r="W9" s="68"/>
      <c r="Y9" s="96"/>
      <c r="Z9" s="33" t="str">
        <f t="shared" si="0"/>
        <v/>
      </c>
      <c r="AA9" s="33" t="str">
        <f t="shared" si="1"/>
        <v/>
      </c>
      <c r="AB9" s="33" t="str">
        <f t="shared" si="2"/>
        <v/>
      </c>
      <c r="AC9" s="92" t="str">
        <f t="shared" ref="AC9:AC17" si="7">IF(A18="","",CONCATENATE($K$16,": ",C18," (",A18,")"))</f>
        <v/>
      </c>
      <c r="AD9" s="108" t="str">
        <f t="shared" ref="AD9:AD17" si="8">IF(AC9="","",G18*H18)</f>
        <v/>
      </c>
      <c r="AE9" s="108" t="str">
        <f t="shared" ref="AE9:AE17" si="9">IF(AC9="","",VLOOKUP(C18,$L$14:$S$26,8,FALSE))</f>
        <v/>
      </c>
      <c r="AF9" s="194" t="str">
        <f>IF(AC9="","",AD9*AE9)</f>
        <v/>
      </c>
    </row>
    <row r="10" spans="1:35" ht="27.45" customHeight="1" x14ac:dyDescent="0.3">
      <c r="A10" s="605"/>
      <c r="B10" s="605"/>
      <c r="C10" s="346"/>
      <c r="D10" s="621"/>
      <c r="E10" s="605"/>
      <c r="F10" s="605"/>
      <c r="G10" s="605"/>
      <c r="H10" s="605"/>
      <c r="I10" s="622"/>
      <c r="J10" s="167"/>
      <c r="K10" s="269" t="s">
        <v>62</v>
      </c>
      <c r="L10" s="270" t="s">
        <v>310</v>
      </c>
      <c r="M10" s="270" t="s">
        <v>312</v>
      </c>
      <c r="N10" s="347">
        <v>48</v>
      </c>
      <c r="O10" s="168">
        <v>80</v>
      </c>
      <c r="P10" s="169">
        <v>88</v>
      </c>
      <c r="Q10" s="69">
        <f t="shared" si="3"/>
        <v>0</v>
      </c>
      <c r="R10" s="70">
        <f t="shared" si="4"/>
        <v>0</v>
      </c>
      <c r="S10" s="82">
        <f t="shared" si="5"/>
        <v>0</v>
      </c>
      <c r="T10" s="171"/>
      <c r="U10" s="171"/>
      <c r="V10" s="84">
        <f t="shared" si="6"/>
        <v>0</v>
      </c>
      <c r="W10" s="68"/>
      <c r="Y10" s="96"/>
      <c r="Z10" s="63" t="str">
        <f t="shared" si="0"/>
        <v/>
      </c>
      <c r="AA10" s="63" t="str">
        <f t="shared" si="1"/>
        <v/>
      </c>
      <c r="AB10" s="63" t="str">
        <f t="shared" si="2"/>
        <v/>
      </c>
      <c r="AC10" s="66" t="str">
        <f t="shared" si="7"/>
        <v/>
      </c>
      <c r="AD10" s="11" t="str">
        <f t="shared" si="8"/>
        <v/>
      </c>
      <c r="AE10" s="11" t="str">
        <f t="shared" si="9"/>
        <v/>
      </c>
      <c r="AF10" s="96" t="str">
        <f t="shared" ref="AF10:AF17" si="10">IF(AC10="","",AD10*AE10)</f>
        <v/>
      </c>
    </row>
    <row r="11" spans="1:35" ht="27.45" customHeight="1" x14ac:dyDescent="0.3">
      <c r="A11" s="605"/>
      <c r="B11" s="622"/>
      <c r="C11" s="346"/>
      <c r="D11" s="621"/>
      <c r="E11" s="605"/>
      <c r="F11" s="605"/>
      <c r="G11" s="605"/>
      <c r="H11" s="605"/>
      <c r="I11" s="622"/>
      <c r="J11" s="167"/>
      <c r="K11" s="269" t="s">
        <v>62</v>
      </c>
      <c r="L11" s="270" t="s">
        <v>140</v>
      </c>
      <c r="M11" s="270" t="s">
        <v>286</v>
      </c>
      <c r="N11" s="168">
        <v>19</v>
      </c>
      <c r="O11" s="168">
        <v>31</v>
      </c>
      <c r="P11" s="169">
        <v>34</v>
      </c>
      <c r="Q11" s="69">
        <f t="shared" si="3"/>
        <v>0</v>
      </c>
      <c r="R11" s="70">
        <f t="shared" si="4"/>
        <v>0</v>
      </c>
      <c r="S11" s="82">
        <f t="shared" si="5"/>
        <v>0</v>
      </c>
      <c r="T11" s="69"/>
      <c r="U11" s="170"/>
      <c r="V11" s="84">
        <f t="shared" si="6"/>
        <v>0</v>
      </c>
      <c r="W11" s="68"/>
      <c r="Z11" s="11"/>
      <c r="AA11" s="11"/>
      <c r="AB11" s="11"/>
      <c r="AC11" s="66" t="str">
        <f t="shared" si="7"/>
        <v/>
      </c>
      <c r="AD11" s="11" t="str">
        <f t="shared" si="8"/>
        <v/>
      </c>
      <c r="AE11" s="11" t="str">
        <f t="shared" si="9"/>
        <v/>
      </c>
      <c r="AF11" s="96" t="str">
        <f t="shared" si="10"/>
        <v/>
      </c>
    </row>
    <row r="12" spans="1:35" ht="27.45" customHeight="1" x14ac:dyDescent="0.3">
      <c r="A12" s="605"/>
      <c r="B12" s="622"/>
      <c r="C12" s="346"/>
      <c r="D12" s="621"/>
      <c r="E12" s="605"/>
      <c r="F12" s="605"/>
      <c r="G12" s="605"/>
      <c r="H12" s="605"/>
      <c r="I12" s="622"/>
      <c r="J12" s="167"/>
      <c r="K12" s="269" t="s">
        <v>62</v>
      </c>
      <c r="L12" s="270" t="s">
        <v>313</v>
      </c>
      <c r="M12" s="270" t="s">
        <v>315</v>
      </c>
      <c r="N12" s="168">
        <v>19</v>
      </c>
      <c r="O12" s="168">
        <v>31</v>
      </c>
      <c r="P12" s="169">
        <v>34</v>
      </c>
      <c r="Q12" s="69">
        <f t="shared" si="3"/>
        <v>0</v>
      </c>
      <c r="R12" s="70">
        <f t="shared" si="4"/>
        <v>0</v>
      </c>
      <c r="S12" s="82">
        <f t="shared" si="5"/>
        <v>0</v>
      </c>
      <c r="T12" s="171"/>
      <c r="U12" s="171"/>
      <c r="V12" s="84">
        <f t="shared" si="6"/>
        <v>0</v>
      </c>
      <c r="W12" s="68"/>
      <c r="Z12" t="str">
        <f>IF(SUM('Cover Sheet &amp; Medications'!$O$14:$O$22)&gt;0,1,"")</f>
        <v/>
      </c>
      <c r="AA12" s="149" t="str">
        <f>IF(Z12="","",VLOOKUP(Z12,'Cover Sheet &amp; Medications'!$O$14:$Q$22,3,FALSE))</f>
        <v/>
      </c>
      <c r="AB12" s="149" t="str">
        <f>IF(Z12="","",VLOOKUP(Z12,'Cover Sheet &amp; Medications'!$O$14:$Q$22,2,FALSE))</f>
        <v/>
      </c>
      <c r="AC12" s="66" t="str">
        <f t="shared" si="7"/>
        <v/>
      </c>
      <c r="AD12" s="11" t="str">
        <f t="shared" si="8"/>
        <v/>
      </c>
      <c r="AE12" s="11" t="str">
        <f t="shared" si="9"/>
        <v/>
      </c>
      <c r="AF12" s="96" t="str">
        <f t="shared" si="10"/>
        <v/>
      </c>
    </row>
    <row r="13" spans="1:35" ht="27.45" customHeight="1" x14ac:dyDescent="0.3">
      <c r="A13" s="605"/>
      <c r="B13" s="622"/>
      <c r="C13" s="346"/>
      <c r="D13" s="621"/>
      <c r="E13" s="605"/>
      <c r="F13" s="605"/>
      <c r="G13" s="605"/>
      <c r="H13" s="605"/>
      <c r="I13" s="622"/>
      <c r="J13" s="167"/>
      <c r="K13" s="269" t="s">
        <v>62</v>
      </c>
      <c r="L13" s="270" t="s">
        <v>314</v>
      </c>
      <c r="M13" s="270" t="s">
        <v>316</v>
      </c>
      <c r="N13" s="168">
        <v>46</v>
      </c>
      <c r="O13" s="168">
        <v>77</v>
      </c>
      <c r="P13" s="169">
        <v>84</v>
      </c>
      <c r="Q13" s="69">
        <f t="shared" si="3"/>
        <v>0</v>
      </c>
      <c r="R13" s="70">
        <f t="shared" si="4"/>
        <v>0</v>
      </c>
      <c r="S13" s="82">
        <f t="shared" si="5"/>
        <v>0</v>
      </c>
      <c r="T13" s="171"/>
      <c r="U13" s="171"/>
      <c r="V13" s="84">
        <f t="shared" si="6"/>
        <v>0</v>
      </c>
      <c r="W13" s="68"/>
      <c r="Z13" t="str">
        <f>IF(SUM('Cover Sheet &amp; Medications'!$O$14:$O$22)&gt;2,2,"")</f>
        <v/>
      </c>
      <c r="AA13" s="149" t="str">
        <f>IF(Z13="","",VLOOKUP(Z13,'Cover Sheet &amp; Medications'!$O$14:$Q$22,3,FALSE))</f>
        <v/>
      </c>
      <c r="AB13" s="149" t="str">
        <f>IF(Z13="","",VLOOKUP(Z13,'Cover Sheet &amp; Medications'!$O$14:$Q$22,2,FALSE))</f>
        <v/>
      </c>
      <c r="AC13" s="66" t="str">
        <f t="shared" si="7"/>
        <v/>
      </c>
      <c r="AD13" s="11" t="str">
        <f t="shared" si="8"/>
        <v/>
      </c>
      <c r="AE13" s="11" t="str">
        <f t="shared" si="9"/>
        <v/>
      </c>
      <c r="AF13" s="96" t="str">
        <f t="shared" si="10"/>
        <v/>
      </c>
    </row>
    <row r="14" spans="1:35" ht="27" customHeight="1" x14ac:dyDescent="0.3">
      <c r="A14" s="605"/>
      <c r="B14" s="622"/>
      <c r="C14" s="116"/>
      <c r="D14" s="621"/>
      <c r="E14" s="605"/>
      <c r="F14" s="605"/>
      <c r="G14" s="605"/>
      <c r="H14" s="605"/>
      <c r="I14" s="622"/>
      <c r="J14" s="167"/>
      <c r="K14" s="269" t="s">
        <v>62</v>
      </c>
      <c r="L14" s="270" t="s">
        <v>305</v>
      </c>
      <c r="M14" s="270" t="s">
        <v>306</v>
      </c>
      <c r="N14" s="168">
        <v>128</v>
      </c>
      <c r="O14" s="168">
        <v>211</v>
      </c>
      <c r="P14" s="169">
        <v>232</v>
      </c>
      <c r="Q14" s="69">
        <f t="shared" si="3"/>
        <v>0</v>
      </c>
      <c r="R14" s="70">
        <f t="shared" si="4"/>
        <v>0</v>
      </c>
      <c r="S14" s="82">
        <f t="shared" si="5"/>
        <v>0</v>
      </c>
      <c r="T14" s="171"/>
      <c r="U14" s="171"/>
      <c r="V14" s="84">
        <f t="shared" si="6"/>
        <v>0</v>
      </c>
      <c r="W14" s="68"/>
      <c r="Z14" t="str">
        <f>IF(SUM('Cover Sheet &amp; Medications'!$O$14:$O$22)&gt;5,3,"")</f>
        <v/>
      </c>
      <c r="AA14" s="149" t="str">
        <f>IF(Z14="","",VLOOKUP(Z14,'Cover Sheet &amp; Medications'!$O$14:$Q$22,3,FALSE))</f>
        <v/>
      </c>
      <c r="AB14" s="149" t="str">
        <f>IF(Z14="","",VLOOKUP(Z14,'Cover Sheet &amp; Medications'!$O$14:$Q$22,2,FALSE))</f>
        <v/>
      </c>
      <c r="AC14" s="66" t="str">
        <f t="shared" si="7"/>
        <v/>
      </c>
      <c r="AD14" s="11" t="str">
        <f t="shared" si="8"/>
        <v/>
      </c>
      <c r="AE14" s="11" t="str">
        <f t="shared" si="9"/>
        <v/>
      </c>
      <c r="AF14" s="96" t="str">
        <f t="shared" si="10"/>
        <v/>
      </c>
    </row>
    <row r="15" spans="1:35" ht="27.45" customHeight="1" thickBot="1" x14ac:dyDescent="0.35">
      <c r="A15" s="620"/>
      <c r="B15" s="620"/>
      <c r="C15" s="118"/>
      <c r="D15" s="623"/>
      <c r="E15" s="620"/>
      <c r="F15" s="620"/>
      <c r="G15" s="620"/>
      <c r="H15" s="620"/>
      <c r="I15" s="624"/>
      <c r="J15" s="167"/>
      <c r="K15" s="348" t="s">
        <v>62</v>
      </c>
      <c r="L15" s="349" t="s">
        <v>307</v>
      </c>
      <c r="M15" s="349" t="s">
        <v>308</v>
      </c>
      <c r="N15" s="71">
        <v>74</v>
      </c>
      <c r="O15" s="71">
        <v>122</v>
      </c>
      <c r="P15" s="328">
        <v>134</v>
      </c>
      <c r="Q15" s="72">
        <f t="shared" si="3"/>
        <v>0</v>
      </c>
      <c r="R15" s="73">
        <f t="shared" si="4"/>
        <v>0</v>
      </c>
      <c r="S15" s="83">
        <f t="shared" si="5"/>
        <v>0</v>
      </c>
      <c r="T15" s="73"/>
      <c r="U15" s="73"/>
      <c r="V15" s="85">
        <f t="shared" si="6"/>
        <v>0</v>
      </c>
      <c r="W15" s="68"/>
      <c r="Z15" t="str">
        <f>IF(SUM('Cover Sheet &amp; Medications'!$O$14:$O$22)&gt;9,4,"")</f>
        <v/>
      </c>
      <c r="AA15" s="149" t="str">
        <f>IF(Z15="","",VLOOKUP(Z15,'Cover Sheet &amp; Medications'!$O$14:$Q$22,3,FALSE))</f>
        <v/>
      </c>
      <c r="AB15" s="149" t="str">
        <f>IF(Z15="","",VLOOKUP(Z15,'Cover Sheet &amp; Medications'!$O$14:$Q$22,2,FALSE))</f>
        <v/>
      </c>
      <c r="AC15" s="66" t="str">
        <f t="shared" si="7"/>
        <v/>
      </c>
      <c r="AD15" s="11" t="str">
        <f t="shared" si="8"/>
        <v/>
      </c>
      <c r="AE15" s="11" t="str">
        <f t="shared" si="9"/>
        <v/>
      </c>
      <c r="AF15" s="96" t="str">
        <f t="shared" si="10"/>
        <v/>
      </c>
      <c r="AI15" s="11"/>
    </row>
    <row r="16" spans="1:35" ht="27.45" hidden="1" customHeight="1" thickBot="1" x14ac:dyDescent="0.4">
      <c r="A16" s="592" t="s">
        <v>100</v>
      </c>
      <c r="B16" s="593"/>
      <c r="C16" s="593"/>
      <c r="D16" s="593"/>
      <c r="E16" s="593"/>
      <c r="F16" s="593"/>
      <c r="G16" s="593"/>
      <c r="H16" s="593"/>
      <c r="I16" s="505"/>
      <c r="J16" s="167"/>
      <c r="K16" s="262" t="s">
        <v>63</v>
      </c>
      <c r="L16" s="261" t="s">
        <v>214</v>
      </c>
      <c r="M16" s="258" t="s">
        <v>157</v>
      </c>
      <c r="N16" s="67">
        <v>34</v>
      </c>
      <c r="O16" s="168">
        <v>56</v>
      </c>
      <c r="P16" s="169">
        <v>62</v>
      </c>
      <c r="Q16" s="69">
        <f t="shared" ref="Q16:Q24" si="11">COUNTIF($C$18:$D$26,L16)</f>
        <v>0</v>
      </c>
      <c r="R16" s="70">
        <f t="shared" ref="R16:R24" ca="1" si="12">SUMIF($C$18:$D$26,L16,$J$18:$J$26)</f>
        <v>0</v>
      </c>
      <c r="S16" s="82">
        <f t="shared" si="5"/>
        <v>0</v>
      </c>
      <c r="T16" s="70">
        <f t="shared" ref="T16:T24" ca="1" si="13">SUMIF($C$18:$D$26,L16,$G$18:$G$26)</f>
        <v>0</v>
      </c>
      <c r="U16" s="70">
        <f t="shared" ref="U16:U24" si="14">IF(Q16=0,0,(SUMIF($C$18:$D$26,L16,$H$18:$H$26))/Q16)</f>
        <v>0</v>
      </c>
      <c r="V16" s="84">
        <f t="shared" ref="V16:V32" ca="1" si="15">R16*S16</f>
        <v>0</v>
      </c>
      <c r="W16" s="68"/>
      <c r="Z16" t="str">
        <f>IF(SUM('Cover Sheet &amp; Medications'!$O$14:$O$22)&gt;14,5,"")</f>
        <v/>
      </c>
      <c r="AA16" s="149" t="str">
        <f>IF(Z16="","",VLOOKUP(Z16,'Cover Sheet &amp; Medications'!$O$14:$Q$22,3,FALSE))</f>
        <v/>
      </c>
      <c r="AB16" s="149" t="str">
        <f>IF(Z16="","",VLOOKUP(Z16,'Cover Sheet &amp; Medications'!$O$14:$Q$22,2,FALSE))</f>
        <v/>
      </c>
      <c r="AC16" s="66" t="str">
        <f t="shared" si="7"/>
        <v/>
      </c>
      <c r="AD16" s="11" t="str">
        <f t="shared" si="8"/>
        <v/>
      </c>
      <c r="AE16" s="11" t="str">
        <f t="shared" si="9"/>
        <v/>
      </c>
      <c r="AF16" s="96" t="str">
        <f t="shared" si="10"/>
        <v/>
      </c>
      <c r="AG16" s="11"/>
      <c r="AH16" s="11"/>
    </row>
    <row r="17" spans="1:32" ht="27.45" hidden="1" customHeight="1" thickBot="1" x14ac:dyDescent="0.35">
      <c r="A17" s="134" t="s">
        <v>131</v>
      </c>
      <c r="B17" s="86" t="s">
        <v>128</v>
      </c>
      <c r="C17" s="601" t="s">
        <v>113</v>
      </c>
      <c r="D17" s="602"/>
      <c r="E17" s="130" t="s">
        <v>132</v>
      </c>
      <c r="F17" s="130" t="s">
        <v>135</v>
      </c>
      <c r="G17" s="157" t="s">
        <v>133</v>
      </c>
      <c r="H17" s="135" t="s">
        <v>101</v>
      </c>
      <c r="I17" s="166" t="s">
        <v>142</v>
      </c>
      <c r="J17" s="167"/>
      <c r="K17" s="140" t="s">
        <v>63</v>
      </c>
      <c r="L17" s="141" t="s">
        <v>215</v>
      </c>
      <c r="M17" s="142" t="s">
        <v>159</v>
      </c>
      <c r="N17" s="67">
        <v>51</v>
      </c>
      <c r="O17" s="65">
        <v>84</v>
      </c>
      <c r="P17" s="169">
        <v>92</v>
      </c>
      <c r="Q17" s="69">
        <f t="shared" si="11"/>
        <v>0</v>
      </c>
      <c r="R17" s="70">
        <f t="shared" ca="1" si="12"/>
        <v>0</v>
      </c>
      <c r="S17" s="82">
        <f t="shared" si="5"/>
        <v>0</v>
      </c>
      <c r="T17" s="70">
        <f t="shared" ca="1" si="13"/>
        <v>0</v>
      </c>
      <c r="U17" s="70">
        <f t="shared" si="14"/>
        <v>0</v>
      </c>
      <c r="V17" s="84">
        <f t="shared" ca="1" si="15"/>
        <v>0</v>
      </c>
      <c r="W17" s="68"/>
      <c r="Z17" t="str">
        <f>IF(SUM('Cover Sheet &amp; Medications'!$O$14:$O$22)&gt;20,6,"")</f>
        <v/>
      </c>
      <c r="AA17" s="149" t="str">
        <f>IF(Z17="","",VLOOKUP(Z17,'Cover Sheet &amp; Medications'!$O$14:$Q$22,3,FALSE))</f>
        <v/>
      </c>
      <c r="AB17" s="149" t="str">
        <f>IF(Z17="","",VLOOKUP(Z17,'Cover Sheet &amp; Medications'!$O$14:$Q$22,2,FALSE))</f>
        <v/>
      </c>
      <c r="AC17" s="95" t="str">
        <f t="shared" si="7"/>
        <v/>
      </c>
      <c r="AD17" s="195" t="str">
        <f t="shared" si="8"/>
        <v/>
      </c>
      <c r="AE17" s="195" t="str">
        <f t="shared" si="9"/>
        <v/>
      </c>
      <c r="AF17" s="196" t="str">
        <f t="shared" si="10"/>
        <v/>
      </c>
    </row>
    <row r="18" spans="1:32" ht="27.45" hidden="1" customHeight="1" thickBot="1" x14ac:dyDescent="0.35">
      <c r="A18" s="150" t="str">
        <f>'Manufacturing-Testing-Other'!AA12</f>
        <v/>
      </c>
      <c r="B18" s="151" t="str">
        <f>AB12</f>
        <v/>
      </c>
      <c r="C18" s="603" t="str">
        <f>IF(A18="","",Dispensing!B38)</f>
        <v/>
      </c>
      <c r="D18" s="585"/>
      <c r="E18" s="131"/>
      <c r="F18" s="161"/>
      <c r="G18" s="162" t="str">
        <f>IF(A18="","",Dispensing!B3)</f>
        <v/>
      </c>
      <c r="H18" s="163" t="str">
        <f>IF(A18="","",Dispensing!B2)</f>
        <v/>
      </c>
      <c r="I18" s="117" t="str">
        <f>IF(A18="","",Dispensing!B4)</f>
        <v/>
      </c>
      <c r="J18" s="263" t="e">
        <f>G18*H18</f>
        <v>#VALUE!</v>
      </c>
      <c r="K18" s="140" t="s">
        <v>63</v>
      </c>
      <c r="L18" s="141" t="s">
        <v>216</v>
      </c>
      <c r="M18" s="142" t="s">
        <v>218</v>
      </c>
      <c r="N18" s="67">
        <v>73</v>
      </c>
      <c r="O18" s="65">
        <v>120</v>
      </c>
      <c r="P18" s="169">
        <v>132</v>
      </c>
      <c r="Q18" s="69">
        <f t="shared" si="11"/>
        <v>0</v>
      </c>
      <c r="R18" s="70">
        <f t="shared" ca="1" si="12"/>
        <v>0</v>
      </c>
      <c r="S18" s="82">
        <f t="shared" si="5"/>
        <v>0</v>
      </c>
      <c r="T18" s="70">
        <f t="shared" ca="1" si="13"/>
        <v>0</v>
      </c>
      <c r="U18" s="70">
        <f t="shared" si="14"/>
        <v>0</v>
      </c>
      <c r="V18" s="84">
        <f t="shared" ca="1" si="15"/>
        <v>0</v>
      </c>
      <c r="W18" s="68"/>
      <c r="Z18" t="str">
        <f>IF(SUM('Cover Sheet &amp; Medications'!$O$14:$O$22)&gt;27,7,"")</f>
        <v/>
      </c>
      <c r="AA18" s="149" t="str">
        <f>IF(Z18="","",VLOOKUP(Z18,'Cover Sheet &amp; Medications'!$O$14:$Q$22,3,FALSE))</f>
        <v/>
      </c>
      <c r="AB18" s="149" t="str">
        <f>IF(Z18="","",VLOOKUP(Z18,'Cover Sheet &amp; Medications'!$O$14:$Q$22,2,FALSE))</f>
        <v/>
      </c>
    </row>
    <row r="19" spans="1:32" ht="27.45" hidden="1" customHeight="1" thickBot="1" x14ac:dyDescent="0.35">
      <c r="A19" s="150" t="str">
        <f>'Manufacturing-Testing-Other'!AA13</f>
        <v/>
      </c>
      <c r="B19" s="152" t="str">
        <f t="shared" ref="B19:B26" si="16">AB13</f>
        <v/>
      </c>
      <c r="C19" s="604" t="str">
        <f>IF(A19="","",Dispensing!F38)</f>
        <v/>
      </c>
      <c r="D19" s="588"/>
      <c r="E19" s="132"/>
      <c r="F19" s="164"/>
      <c r="G19" s="162" t="str">
        <f>IF(A19="","",Dispensing!F3)</f>
        <v/>
      </c>
      <c r="H19" s="163" t="str">
        <f>IF(A19="","",Dispensing!F2)</f>
        <v/>
      </c>
      <c r="I19" s="117" t="str">
        <f>IF(A19="","",Dispensing!F4)</f>
        <v/>
      </c>
      <c r="J19" s="263" t="e">
        <f t="shared" ref="J19:J26" si="17">G19*H19</f>
        <v>#VALUE!</v>
      </c>
      <c r="K19" s="140" t="s">
        <v>63</v>
      </c>
      <c r="L19" s="141" t="s">
        <v>217</v>
      </c>
      <c r="M19" s="142" t="s">
        <v>219</v>
      </c>
      <c r="N19" s="67">
        <v>110</v>
      </c>
      <c r="O19" s="65">
        <v>183</v>
      </c>
      <c r="P19" s="169">
        <f t="shared" ref="P19" si="18">ROUND(N19*1.82,0)</f>
        <v>200</v>
      </c>
      <c r="Q19" s="69">
        <f t="shared" si="11"/>
        <v>0</v>
      </c>
      <c r="R19" s="70">
        <f t="shared" ca="1" si="12"/>
        <v>0</v>
      </c>
      <c r="S19" s="82">
        <f t="shared" si="5"/>
        <v>0</v>
      </c>
      <c r="T19" s="70">
        <f t="shared" ca="1" si="13"/>
        <v>0</v>
      </c>
      <c r="U19" s="70">
        <f t="shared" si="14"/>
        <v>0</v>
      </c>
      <c r="V19" s="84">
        <f t="shared" ca="1" si="15"/>
        <v>0</v>
      </c>
      <c r="W19" s="68"/>
      <c r="Z19" t="str">
        <f>IF(SUM('Cover Sheet &amp; Medications'!$O$14:$O$22)&gt;35,8,"")</f>
        <v/>
      </c>
      <c r="AA19" s="149" t="str">
        <f>IF(Z19="","",VLOOKUP(Z19,'Cover Sheet &amp; Medications'!$O$14:$Q$22,3,FALSE))</f>
        <v/>
      </c>
      <c r="AB19" s="149" t="str">
        <f>IF(Z19="","",VLOOKUP(Z19,'Cover Sheet &amp; Medications'!$O$14:$Q$22,2,FALSE))</f>
        <v/>
      </c>
    </row>
    <row r="20" spans="1:32" ht="27.45" hidden="1" customHeight="1" thickBot="1" x14ac:dyDescent="0.35">
      <c r="A20" s="150" t="str">
        <f>'Manufacturing-Testing-Other'!AA14</f>
        <v/>
      </c>
      <c r="B20" s="153" t="str">
        <f t="shared" si="16"/>
        <v/>
      </c>
      <c r="C20" s="604" t="str">
        <f>IF(A20="","",Dispensing!J38)</f>
        <v/>
      </c>
      <c r="D20" s="588"/>
      <c r="E20" s="132"/>
      <c r="F20" s="164"/>
      <c r="G20" s="162" t="str">
        <f>IF(A20="","",Dispensing!J3)</f>
        <v/>
      </c>
      <c r="H20" s="163" t="str">
        <f>IF(A20="","",Dispensing!J2)</f>
        <v/>
      </c>
      <c r="I20" s="117" t="str">
        <f>IF(A20="","",Dispensing!J4)</f>
        <v/>
      </c>
      <c r="J20" s="263" t="e">
        <f t="shared" si="17"/>
        <v>#VALUE!</v>
      </c>
      <c r="K20" s="140" t="s">
        <v>63</v>
      </c>
      <c r="L20" s="141" t="s">
        <v>66</v>
      </c>
      <c r="M20" s="142" t="s">
        <v>157</v>
      </c>
      <c r="N20" s="67">
        <v>80</v>
      </c>
      <c r="O20" s="65">
        <v>133</v>
      </c>
      <c r="P20" s="169">
        <v>146</v>
      </c>
      <c r="Q20" s="69">
        <f t="shared" si="11"/>
        <v>0</v>
      </c>
      <c r="R20" s="70">
        <f t="shared" ca="1" si="12"/>
        <v>0</v>
      </c>
      <c r="S20" s="82">
        <f t="shared" si="5"/>
        <v>0</v>
      </c>
      <c r="T20" s="70">
        <f t="shared" ca="1" si="13"/>
        <v>0</v>
      </c>
      <c r="U20" s="70">
        <f t="shared" si="14"/>
        <v>0</v>
      </c>
      <c r="V20" s="84">
        <f t="shared" ca="1" si="15"/>
        <v>0</v>
      </c>
      <c r="W20" s="68"/>
      <c r="Z20" t="str">
        <f>IF(SUM('Cover Sheet &amp; Medications'!$O$14:$O$22)&gt;44,9,"")</f>
        <v/>
      </c>
      <c r="AA20" s="149" t="str">
        <f>IF(Z20="","",VLOOKUP(Z20,'Cover Sheet &amp; Medications'!$O$14:$Q$22,3,FALSE))</f>
        <v/>
      </c>
      <c r="AB20" s="149" t="str">
        <f>IF(Z20="","",VLOOKUP(Z20,'Cover Sheet &amp; Medications'!$O$14:$Q$22,2,FALSE))</f>
        <v/>
      </c>
    </row>
    <row r="21" spans="1:32" ht="27.45" hidden="1" customHeight="1" thickBot="1" x14ac:dyDescent="0.35">
      <c r="A21" s="150" t="str">
        <f>'Manufacturing-Testing-Other'!AA15</f>
        <v/>
      </c>
      <c r="B21" s="152" t="str">
        <f t="shared" si="16"/>
        <v/>
      </c>
      <c r="C21" s="604" t="str">
        <f>IF(A21="","",Dispensing!N38)</f>
        <v/>
      </c>
      <c r="D21" s="588"/>
      <c r="E21" s="132"/>
      <c r="F21" s="164"/>
      <c r="G21" s="162" t="str">
        <f>IF(A21="","",Dispensing!N3)</f>
        <v/>
      </c>
      <c r="H21" s="163" t="str">
        <f>IF(A21="","",Dispensing!N2)</f>
        <v/>
      </c>
      <c r="I21" s="117" t="str">
        <f>IF(A21="","",Dispensing!N4)</f>
        <v/>
      </c>
      <c r="J21" s="263" t="e">
        <f t="shared" si="17"/>
        <v>#VALUE!</v>
      </c>
      <c r="K21" s="140" t="s">
        <v>63</v>
      </c>
      <c r="L21" s="141" t="s">
        <v>65</v>
      </c>
      <c r="M21" s="142" t="s">
        <v>159</v>
      </c>
      <c r="N21" s="67">
        <v>112</v>
      </c>
      <c r="O21" s="65">
        <v>186</v>
      </c>
      <c r="P21" s="169">
        <v>205</v>
      </c>
      <c r="Q21" s="69">
        <f t="shared" si="11"/>
        <v>0</v>
      </c>
      <c r="R21" s="70">
        <f t="shared" ca="1" si="12"/>
        <v>0</v>
      </c>
      <c r="S21" s="82">
        <f t="shared" si="5"/>
        <v>0</v>
      </c>
      <c r="T21" s="171">
        <f t="shared" ca="1" si="13"/>
        <v>0</v>
      </c>
      <c r="U21" s="170">
        <f t="shared" si="14"/>
        <v>0</v>
      </c>
      <c r="V21" s="84">
        <f t="shared" ca="1" si="15"/>
        <v>0</v>
      </c>
      <c r="W21" s="68"/>
    </row>
    <row r="22" spans="1:32" ht="27.45" hidden="1" customHeight="1" thickBot="1" x14ac:dyDescent="0.35">
      <c r="A22" s="150" t="str">
        <f>'Manufacturing-Testing-Other'!AA16</f>
        <v/>
      </c>
      <c r="B22" s="153" t="str">
        <f t="shared" si="16"/>
        <v/>
      </c>
      <c r="C22" s="604" t="str">
        <f>IF(A22="","",Dispensing!R38)</f>
        <v/>
      </c>
      <c r="D22" s="588"/>
      <c r="E22" s="136"/>
      <c r="F22" s="164"/>
      <c r="G22" s="162" t="str">
        <f>IF(A22="","",Dispensing!R3)</f>
        <v/>
      </c>
      <c r="H22" s="163" t="str">
        <f>IF(A22="","",Dispensing!R2)</f>
        <v/>
      </c>
      <c r="I22" s="117" t="str">
        <f>IF(A22="","",Dispensing!R4)</f>
        <v/>
      </c>
      <c r="J22" s="263" t="e">
        <f t="shared" si="17"/>
        <v>#VALUE!</v>
      </c>
      <c r="K22" s="140" t="s">
        <v>63</v>
      </c>
      <c r="L22" s="141" t="s">
        <v>64</v>
      </c>
      <c r="M22" s="142" t="s">
        <v>162</v>
      </c>
      <c r="N22" s="67">
        <v>185</v>
      </c>
      <c r="O22" s="65">
        <v>306</v>
      </c>
      <c r="P22" s="169">
        <v>337</v>
      </c>
      <c r="Q22" s="69">
        <f t="shared" si="11"/>
        <v>0</v>
      </c>
      <c r="R22" s="70">
        <f t="shared" ca="1" si="12"/>
        <v>0</v>
      </c>
      <c r="S22" s="82">
        <f t="shared" si="5"/>
        <v>0</v>
      </c>
      <c r="T22" s="171">
        <f t="shared" ca="1" si="13"/>
        <v>0</v>
      </c>
      <c r="U22" s="170">
        <f t="shared" si="14"/>
        <v>0</v>
      </c>
      <c r="V22" s="84">
        <f t="shared" ca="1" si="15"/>
        <v>0</v>
      </c>
      <c r="W22" s="68"/>
    </row>
    <row r="23" spans="1:32" ht="27.45" hidden="1" customHeight="1" thickBot="1" x14ac:dyDescent="0.35">
      <c r="A23" s="150" t="str">
        <f>'Manufacturing-Testing-Other'!AA17</f>
        <v/>
      </c>
      <c r="B23" s="152" t="str">
        <f t="shared" si="16"/>
        <v/>
      </c>
      <c r="C23" s="604" t="str">
        <f>IF(A23="","",Dispensing!V38)</f>
        <v/>
      </c>
      <c r="D23" s="588"/>
      <c r="E23" s="136"/>
      <c r="F23" s="164"/>
      <c r="G23" s="162" t="str">
        <f>IF(A23="","",Dispensing!V3)</f>
        <v/>
      </c>
      <c r="H23" s="163" t="str">
        <f>IF(A23="","",Dispensing!V2)</f>
        <v/>
      </c>
      <c r="I23" s="117" t="str">
        <f>IF(A23="","",Dispensing!V4)</f>
        <v/>
      </c>
      <c r="J23" s="263" t="e">
        <f t="shared" si="17"/>
        <v>#VALUE!</v>
      </c>
      <c r="K23" s="140" t="s">
        <v>63</v>
      </c>
      <c r="L23" s="141" t="s">
        <v>164</v>
      </c>
      <c r="M23" s="142" t="s">
        <v>165</v>
      </c>
      <c r="N23" s="67">
        <v>334</v>
      </c>
      <c r="O23" s="65">
        <v>553</v>
      </c>
      <c r="P23" s="169">
        <v>608</v>
      </c>
      <c r="Q23" s="69">
        <f t="shared" si="11"/>
        <v>0</v>
      </c>
      <c r="R23" s="171">
        <f t="shared" ca="1" si="12"/>
        <v>0</v>
      </c>
      <c r="S23" s="82">
        <f t="shared" si="5"/>
        <v>0</v>
      </c>
      <c r="T23" s="171">
        <f t="shared" ca="1" si="13"/>
        <v>0</v>
      </c>
      <c r="U23" s="170">
        <f t="shared" si="14"/>
        <v>0</v>
      </c>
      <c r="V23" s="84">
        <f t="shared" ca="1" si="15"/>
        <v>0</v>
      </c>
      <c r="W23" s="68"/>
    </row>
    <row r="24" spans="1:32" ht="27.45" hidden="1" customHeight="1" thickBot="1" x14ac:dyDescent="0.35">
      <c r="A24" s="150" t="str">
        <f>'Manufacturing-Testing-Other'!AA18</f>
        <v/>
      </c>
      <c r="B24" s="152" t="str">
        <f t="shared" si="16"/>
        <v/>
      </c>
      <c r="C24" s="604" t="str">
        <f>IF(A24="","",Dispensing!Z38)</f>
        <v/>
      </c>
      <c r="D24" s="588"/>
      <c r="E24" s="132"/>
      <c r="F24" s="164"/>
      <c r="G24" s="162" t="str">
        <f>IF(A24="","",Dispensing!Z3)</f>
        <v/>
      </c>
      <c r="H24" s="163" t="str">
        <f>IF(A24="","",Dispensing!Z2)</f>
        <v/>
      </c>
      <c r="I24" s="117" t="str">
        <f>IF(A24="","",Dispensing!Z4)</f>
        <v/>
      </c>
      <c r="J24" s="263" t="e">
        <f t="shared" si="17"/>
        <v>#VALUE!</v>
      </c>
      <c r="K24" s="140" t="s">
        <v>63</v>
      </c>
      <c r="L24" s="141" t="s">
        <v>166</v>
      </c>
      <c r="M24" s="142" t="s">
        <v>167</v>
      </c>
      <c r="N24" s="75">
        <v>453</v>
      </c>
      <c r="O24" s="71">
        <v>750</v>
      </c>
      <c r="P24" s="328">
        <v>825</v>
      </c>
      <c r="Q24" s="69">
        <f t="shared" si="11"/>
        <v>0</v>
      </c>
      <c r="R24" s="171">
        <f t="shared" ca="1" si="12"/>
        <v>0</v>
      </c>
      <c r="S24" s="82">
        <f t="shared" ref="S24" si="19">IF($X$1="",0,IF($X$1="Non-Industry",N24,IF($X$1="Industry",O24,P24)))</f>
        <v>0</v>
      </c>
      <c r="T24" s="171">
        <f t="shared" ca="1" si="13"/>
        <v>0</v>
      </c>
      <c r="U24" s="170">
        <f t="shared" si="14"/>
        <v>0</v>
      </c>
      <c r="V24" s="84">
        <f t="shared" ref="V24" ca="1" si="20">R24*S24</f>
        <v>0</v>
      </c>
      <c r="W24" s="68"/>
    </row>
    <row r="25" spans="1:32" ht="27.45" hidden="1" customHeight="1" thickBot="1" x14ac:dyDescent="0.35">
      <c r="A25" s="150" t="str">
        <f>'Manufacturing-Testing-Other'!AA19</f>
        <v/>
      </c>
      <c r="B25" s="153" t="str">
        <f t="shared" si="16"/>
        <v/>
      </c>
      <c r="C25" s="604" t="str">
        <f>IF(A25="","",Dispensing!AD38)</f>
        <v/>
      </c>
      <c r="D25" s="588"/>
      <c r="E25" s="132"/>
      <c r="F25" s="164"/>
      <c r="G25" s="162" t="str">
        <f>IF(A25="","",Dispensing!AD3)</f>
        <v/>
      </c>
      <c r="H25" s="163" t="str">
        <f>IF(A25="","",Dispensing!AD2)</f>
        <v/>
      </c>
      <c r="I25" s="117" t="str">
        <f>IF(A25="","",Dispensing!AD4)</f>
        <v/>
      </c>
      <c r="J25" s="263" t="e">
        <f t="shared" si="17"/>
        <v>#VALUE!</v>
      </c>
      <c r="K25" s="140"/>
      <c r="L25" s="141"/>
      <c r="M25" s="142"/>
      <c r="N25" s="67"/>
      <c r="O25" s="168"/>
      <c r="P25" s="168"/>
      <c r="Q25" s="69"/>
      <c r="R25" s="171"/>
      <c r="S25" s="82"/>
      <c r="T25" s="171"/>
      <c r="U25" s="171"/>
      <c r="V25" s="84"/>
      <c r="W25" s="68"/>
    </row>
    <row r="26" spans="1:32" ht="27.45" hidden="1" customHeight="1" thickBot="1" x14ac:dyDescent="0.35">
      <c r="A26" s="150" t="str">
        <f>'Manufacturing-Testing-Other'!AA20</f>
        <v/>
      </c>
      <c r="B26" s="154" t="str">
        <f t="shared" si="16"/>
        <v/>
      </c>
      <c r="C26" s="615" t="str">
        <f>IF(A26="","",Dispensing!AH38)</f>
        <v/>
      </c>
      <c r="D26" s="616"/>
      <c r="E26" s="133"/>
      <c r="F26" s="165"/>
      <c r="G26" s="162" t="str">
        <f>IF(A26="","",Dispensing!AH3)</f>
        <v/>
      </c>
      <c r="H26" s="163" t="str">
        <f>IF(A26="","",Dispensing!AH2)</f>
        <v/>
      </c>
      <c r="I26" s="117" t="str">
        <f>IF(A26="","",Dispensing!AH4)</f>
        <v/>
      </c>
      <c r="J26" s="263" t="e">
        <f t="shared" si="17"/>
        <v>#VALUE!</v>
      </c>
      <c r="K26" s="140"/>
      <c r="L26" s="141"/>
      <c r="M26" s="142"/>
      <c r="N26" s="67"/>
      <c r="O26" s="168"/>
      <c r="P26" s="168"/>
      <c r="Q26" s="69"/>
      <c r="R26" s="171"/>
      <c r="S26" s="82"/>
      <c r="T26" s="171"/>
      <c r="U26" s="171"/>
      <c r="V26" s="84"/>
      <c r="W26" s="68"/>
    </row>
    <row r="27" spans="1:32" ht="27.45" customHeight="1" thickBot="1" x14ac:dyDescent="0.4">
      <c r="A27" s="578" t="s">
        <v>125</v>
      </c>
      <c r="B27" s="578"/>
      <c r="C27" s="578"/>
      <c r="D27" s="578"/>
      <c r="E27" s="578"/>
      <c r="F27" s="578"/>
      <c r="G27" s="578"/>
      <c r="H27" s="578"/>
      <c r="I27" s="579"/>
      <c r="J27" s="155"/>
      <c r="K27" s="143" t="s">
        <v>105</v>
      </c>
      <c r="L27" s="144" t="s">
        <v>224</v>
      </c>
      <c r="M27" s="145" t="s">
        <v>226</v>
      </c>
      <c r="N27" s="67">
        <v>35</v>
      </c>
      <c r="O27" s="65">
        <v>58</v>
      </c>
      <c r="P27" s="65">
        <v>64</v>
      </c>
      <c r="Q27" s="69">
        <f t="shared" ref="Q27:Q37" si="21">COUNTIF($A$29:$B$32,L27)</f>
        <v>0</v>
      </c>
      <c r="R27" s="70">
        <f t="shared" ref="R27:R37" ca="1" si="22">SUMIF($A$29:$B$32,L27,$D$29:$D$32)</f>
        <v>0</v>
      </c>
      <c r="S27" s="82">
        <f t="shared" si="5"/>
        <v>0</v>
      </c>
      <c r="T27" s="70"/>
      <c r="U27" s="70"/>
      <c r="V27" s="84">
        <f t="shared" ca="1" si="15"/>
        <v>0</v>
      </c>
      <c r="W27" s="68"/>
    </row>
    <row r="28" spans="1:32" ht="27.45" customHeight="1" thickBot="1" x14ac:dyDescent="0.35">
      <c r="A28" s="617" t="s">
        <v>114</v>
      </c>
      <c r="B28" s="618"/>
      <c r="C28" s="619"/>
      <c r="D28" s="62" t="s">
        <v>106</v>
      </c>
      <c r="E28" s="580" t="s">
        <v>115</v>
      </c>
      <c r="F28" s="581"/>
      <c r="G28" s="581"/>
      <c r="H28" s="581"/>
      <c r="I28" s="582"/>
      <c r="J28" s="155"/>
      <c r="K28" s="143" t="s">
        <v>105</v>
      </c>
      <c r="L28" s="144" t="s">
        <v>68</v>
      </c>
      <c r="M28" s="145" t="s">
        <v>91</v>
      </c>
      <c r="N28" s="67">
        <v>174</v>
      </c>
      <c r="O28" s="65">
        <v>287</v>
      </c>
      <c r="P28" s="65">
        <v>317</v>
      </c>
      <c r="Q28" s="69">
        <f t="shared" si="21"/>
        <v>0</v>
      </c>
      <c r="R28" s="70">
        <f t="shared" ca="1" si="22"/>
        <v>0</v>
      </c>
      <c r="S28" s="82">
        <f t="shared" si="5"/>
        <v>0</v>
      </c>
      <c r="T28" s="70"/>
      <c r="U28" s="70"/>
      <c r="V28" s="84">
        <f t="shared" ca="1" si="15"/>
        <v>0</v>
      </c>
      <c r="W28" s="68"/>
    </row>
    <row r="29" spans="1:32" ht="27.45" customHeight="1" thickBot="1" x14ac:dyDescent="0.35">
      <c r="A29" s="606"/>
      <c r="B29" s="607"/>
      <c r="C29" s="608"/>
      <c r="D29" s="115"/>
      <c r="E29" s="583"/>
      <c r="F29" s="584"/>
      <c r="G29" s="584"/>
      <c r="H29" s="584"/>
      <c r="I29" s="585"/>
      <c r="J29" s="155"/>
      <c r="K29" s="143" t="s">
        <v>105</v>
      </c>
      <c r="L29" s="144" t="s">
        <v>69</v>
      </c>
      <c r="M29" s="145" t="s">
        <v>92</v>
      </c>
      <c r="N29" s="67">
        <v>174</v>
      </c>
      <c r="O29" s="65">
        <v>287</v>
      </c>
      <c r="P29" s="65">
        <v>317</v>
      </c>
      <c r="Q29" s="69">
        <f t="shared" si="21"/>
        <v>0</v>
      </c>
      <c r="R29" s="70">
        <f t="shared" ca="1" si="22"/>
        <v>0</v>
      </c>
      <c r="S29" s="82">
        <f t="shared" si="5"/>
        <v>0</v>
      </c>
      <c r="T29" s="70"/>
      <c r="U29" s="70"/>
      <c r="V29" s="84">
        <f t="shared" ca="1" si="15"/>
        <v>0</v>
      </c>
      <c r="W29" s="68"/>
    </row>
    <row r="30" spans="1:32" ht="27.45" customHeight="1" thickBot="1" x14ac:dyDescent="0.35">
      <c r="A30" s="609"/>
      <c r="B30" s="610"/>
      <c r="C30" s="611"/>
      <c r="D30" s="116"/>
      <c r="E30" s="586"/>
      <c r="F30" s="587"/>
      <c r="G30" s="587"/>
      <c r="H30" s="587"/>
      <c r="I30" s="588"/>
      <c r="J30" s="155"/>
      <c r="K30" s="143" t="s">
        <v>105</v>
      </c>
      <c r="L30" s="144" t="s">
        <v>70</v>
      </c>
      <c r="M30" s="145" t="s">
        <v>93</v>
      </c>
      <c r="N30" s="67">
        <v>91</v>
      </c>
      <c r="O30" s="65">
        <v>151</v>
      </c>
      <c r="P30" s="65">
        <v>166</v>
      </c>
      <c r="Q30" s="69">
        <f t="shared" si="21"/>
        <v>0</v>
      </c>
      <c r="R30" s="70">
        <f t="shared" ca="1" si="22"/>
        <v>0</v>
      </c>
      <c r="S30" s="82">
        <f t="shared" si="5"/>
        <v>0</v>
      </c>
      <c r="T30" s="70"/>
      <c r="U30" s="70"/>
      <c r="V30" s="84">
        <f t="shared" ca="1" si="15"/>
        <v>0</v>
      </c>
      <c r="W30" s="68"/>
      <c r="X30" s="11"/>
    </row>
    <row r="31" spans="1:32" ht="27.45" customHeight="1" thickBot="1" x14ac:dyDescent="0.35">
      <c r="A31" s="609"/>
      <c r="B31" s="610"/>
      <c r="C31" s="611"/>
      <c r="D31" s="116"/>
      <c r="E31" s="586"/>
      <c r="F31" s="587"/>
      <c r="G31" s="587"/>
      <c r="H31" s="587"/>
      <c r="I31" s="588"/>
      <c r="J31" s="155"/>
      <c r="K31" s="143" t="s">
        <v>105</v>
      </c>
      <c r="L31" s="144" t="s">
        <v>144</v>
      </c>
      <c r="M31" s="145" t="s">
        <v>94</v>
      </c>
      <c r="N31" s="67">
        <v>155</v>
      </c>
      <c r="O31" s="65">
        <v>256</v>
      </c>
      <c r="P31" s="65">
        <v>283</v>
      </c>
      <c r="Q31" s="69">
        <f t="shared" si="21"/>
        <v>0</v>
      </c>
      <c r="R31" s="70">
        <f t="shared" ca="1" si="22"/>
        <v>0</v>
      </c>
      <c r="S31" s="82">
        <f t="shared" si="5"/>
        <v>0</v>
      </c>
      <c r="T31" s="70"/>
      <c r="U31" s="70"/>
      <c r="V31" s="84">
        <f t="shared" ca="1" si="15"/>
        <v>0</v>
      </c>
      <c r="W31" s="68"/>
    </row>
    <row r="32" spans="1:32" ht="27.45" customHeight="1" thickBot="1" x14ac:dyDescent="0.35">
      <c r="A32" s="612"/>
      <c r="B32" s="613"/>
      <c r="C32" s="614"/>
      <c r="D32" s="118"/>
      <c r="E32" s="589"/>
      <c r="F32" s="590"/>
      <c r="G32" s="590"/>
      <c r="H32" s="590"/>
      <c r="I32" s="591"/>
      <c r="J32" s="155"/>
      <c r="K32" s="143" t="s">
        <v>105</v>
      </c>
      <c r="L32" s="144" t="s">
        <v>71</v>
      </c>
      <c r="M32" s="145" t="s">
        <v>95</v>
      </c>
      <c r="N32" s="67">
        <v>83</v>
      </c>
      <c r="O32" s="65">
        <v>136</v>
      </c>
      <c r="P32" s="65">
        <v>151</v>
      </c>
      <c r="Q32" s="69">
        <f t="shared" si="21"/>
        <v>0</v>
      </c>
      <c r="R32" s="70">
        <f t="shared" ca="1" si="22"/>
        <v>0</v>
      </c>
      <c r="S32" s="82">
        <f t="shared" si="5"/>
        <v>0</v>
      </c>
      <c r="T32" s="69"/>
      <c r="U32" s="170"/>
      <c r="V32" s="84">
        <f t="shared" ca="1" si="15"/>
        <v>0</v>
      </c>
      <c r="W32" s="68"/>
    </row>
    <row r="33" spans="1:23" ht="27.45" customHeight="1" thickBot="1" x14ac:dyDescent="0.4">
      <c r="A33" s="575" t="s">
        <v>149</v>
      </c>
      <c r="B33" s="576"/>
      <c r="C33" s="576"/>
      <c r="D33" s="576"/>
      <c r="E33" s="577"/>
      <c r="F33" s="577"/>
      <c r="G33" s="577"/>
      <c r="H33" s="577"/>
      <c r="I33" s="505"/>
      <c r="J33" s="155"/>
      <c r="K33" s="143" t="s">
        <v>105</v>
      </c>
      <c r="L33" s="144" t="s">
        <v>145</v>
      </c>
      <c r="M33" s="145" t="s">
        <v>147</v>
      </c>
      <c r="N33" s="67">
        <v>270</v>
      </c>
      <c r="O33" s="65">
        <v>446</v>
      </c>
      <c r="P33" s="65">
        <v>491</v>
      </c>
      <c r="Q33" s="69">
        <f t="shared" si="21"/>
        <v>0</v>
      </c>
      <c r="R33" s="70">
        <f t="shared" ca="1" si="22"/>
        <v>0</v>
      </c>
      <c r="S33" s="82">
        <f t="shared" si="5"/>
        <v>0</v>
      </c>
      <c r="T33" s="70"/>
      <c r="U33" s="70"/>
      <c r="V33" s="84">
        <f ca="1">Q33*R33*S33</f>
        <v>0</v>
      </c>
      <c r="W33" s="68" t="s">
        <v>136</v>
      </c>
    </row>
    <row r="34" spans="1:23" ht="27.45" customHeight="1" thickBot="1" x14ac:dyDescent="0.35">
      <c r="A34" s="625" t="s">
        <v>112</v>
      </c>
      <c r="B34" s="626"/>
      <c r="C34" s="619"/>
      <c r="D34" s="627"/>
      <c r="E34" s="582"/>
      <c r="F34" s="582"/>
      <c r="G34" s="582"/>
      <c r="H34" s="582"/>
      <c r="I34" s="628"/>
      <c r="J34" s="155"/>
      <c r="K34" s="143" t="s">
        <v>105</v>
      </c>
      <c r="L34" s="144" t="s">
        <v>225</v>
      </c>
      <c r="M34" s="145" t="s">
        <v>227</v>
      </c>
      <c r="N34" s="67">
        <v>578</v>
      </c>
      <c r="O34" s="65">
        <v>956</v>
      </c>
      <c r="P34" s="65">
        <v>1052</v>
      </c>
      <c r="Q34" s="69">
        <f t="shared" si="21"/>
        <v>0</v>
      </c>
      <c r="R34" s="70">
        <f t="shared" ca="1" si="22"/>
        <v>0</v>
      </c>
      <c r="S34" s="82">
        <f t="shared" si="5"/>
        <v>0</v>
      </c>
      <c r="T34" s="69"/>
      <c r="U34" s="70"/>
      <c r="V34" s="84">
        <f t="shared" ref="V34:V42" ca="1" si="23">Q34*R34*S34</f>
        <v>0</v>
      </c>
      <c r="W34" s="68"/>
    </row>
    <row r="35" spans="1:23" ht="27.45" customHeight="1" thickBot="1" x14ac:dyDescent="0.35">
      <c r="A35" s="604"/>
      <c r="B35" s="637"/>
      <c r="C35" s="605"/>
      <c r="D35" s="629"/>
      <c r="E35" s="630"/>
      <c r="F35" s="630"/>
      <c r="G35" s="630"/>
      <c r="H35" s="630"/>
      <c r="I35" s="631"/>
      <c r="J35" s="155"/>
      <c r="K35" s="143" t="s">
        <v>105</v>
      </c>
      <c r="L35" s="144" t="s">
        <v>72</v>
      </c>
      <c r="M35" s="145" t="s">
        <v>96</v>
      </c>
      <c r="N35" s="67">
        <v>201</v>
      </c>
      <c r="O35" s="65">
        <v>333</v>
      </c>
      <c r="P35" s="65">
        <v>366</v>
      </c>
      <c r="Q35" s="69">
        <f t="shared" si="21"/>
        <v>0</v>
      </c>
      <c r="R35" s="171">
        <f t="shared" ca="1" si="22"/>
        <v>0</v>
      </c>
      <c r="S35" s="82">
        <f t="shared" si="5"/>
        <v>0</v>
      </c>
      <c r="T35" s="171"/>
      <c r="U35" s="170"/>
      <c r="V35" s="84">
        <f t="shared" ca="1" si="23"/>
        <v>0</v>
      </c>
    </row>
    <row r="36" spans="1:23" ht="27.45" customHeight="1" thickBot="1" x14ac:dyDescent="0.35">
      <c r="A36" s="604"/>
      <c r="B36" s="637"/>
      <c r="C36" s="605"/>
      <c r="D36" s="629"/>
      <c r="E36" s="447"/>
      <c r="F36" s="447"/>
      <c r="G36" s="447"/>
      <c r="H36" s="447"/>
      <c r="I36" s="631"/>
      <c r="J36" s="155"/>
      <c r="K36" s="143" t="s">
        <v>105</v>
      </c>
      <c r="L36" s="144" t="s">
        <v>73</v>
      </c>
      <c r="M36" s="145" t="s">
        <v>97</v>
      </c>
      <c r="N36" s="67">
        <v>201</v>
      </c>
      <c r="O36" s="65">
        <v>333</v>
      </c>
      <c r="P36" s="65">
        <v>366</v>
      </c>
      <c r="Q36" s="69">
        <f t="shared" si="21"/>
        <v>0</v>
      </c>
      <c r="R36" s="170">
        <f t="shared" ca="1" si="22"/>
        <v>0</v>
      </c>
      <c r="S36" s="82">
        <f t="shared" si="5"/>
        <v>0</v>
      </c>
      <c r="T36" s="69"/>
      <c r="U36" s="170"/>
      <c r="V36" s="84">
        <f t="shared" ca="1" si="23"/>
        <v>0</v>
      </c>
    </row>
    <row r="37" spans="1:23" ht="27.45" customHeight="1" thickBot="1" x14ac:dyDescent="0.35">
      <c r="A37" s="635"/>
      <c r="B37" s="636"/>
      <c r="C37" s="624"/>
      <c r="D37" s="632"/>
      <c r="E37" s="633"/>
      <c r="F37" s="633"/>
      <c r="G37" s="633"/>
      <c r="H37" s="633"/>
      <c r="I37" s="634"/>
      <c r="J37" s="155"/>
      <c r="K37" s="143" t="s">
        <v>105</v>
      </c>
      <c r="L37" s="144" t="s">
        <v>146</v>
      </c>
      <c r="M37" s="145" t="s">
        <v>148</v>
      </c>
      <c r="N37" s="75">
        <v>1866</v>
      </c>
      <c r="O37" s="71">
        <v>3088</v>
      </c>
      <c r="P37" s="328">
        <v>3396</v>
      </c>
      <c r="Q37" s="72">
        <f t="shared" si="21"/>
        <v>0</v>
      </c>
      <c r="R37" s="73">
        <f t="shared" ca="1" si="22"/>
        <v>0</v>
      </c>
      <c r="S37" s="83">
        <f t="shared" si="5"/>
        <v>0</v>
      </c>
      <c r="T37" s="73"/>
      <c r="U37" s="73"/>
      <c r="V37" s="85">
        <f t="shared" ca="1" si="23"/>
        <v>0</v>
      </c>
    </row>
    <row r="38" spans="1:23" ht="27.45" customHeight="1" thickBot="1" x14ac:dyDescent="0.35">
      <c r="A38" s="3"/>
      <c r="B38" s="3"/>
      <c r="C38" s="3"/>
      <c r="D38" s="3"/>
      <c r="E38" s="3"/>
      <c r="F38" s="160"/>
      <c r="G38" s="3"/>
      <c r="H38" s="3"/>
      <c r="I38" s="3"/>
      <c r="K38" s="146" t="s">
        <v>67</v>
      </c>
      <c r="L38" s="147" t="s">
        <v>150</v>
      </c>
      <c r="M38" s="148" t="s">
        <v>222</v>
      </c>
      <c r="N38" s="67">
        <v>29</v>
      </c>
      <c r="O38" s="65">
        <v>47</v>
      </c>
      <c r="P38" s="65">
        <v>52</v>
      </c>
      <c r="Q38" s="69">
        <f>COUNTIF($A$35:$B$37,L38)</f>
        <v>0</v>
      </c>
      <c r="R38" s="70">
        <f>ROUND(IF(Q38&gt;0,('Cover Sheet &amp; Medications'!#REF!/365)*12,0),0)</f>
        <v>0</v>
      </c>
      <c r="S38" s="82">
        <f t="shared" si="5"/>
        <v>0</v>
      </c>
      <c r="T38" s="70"/>
      <c r="U38" s="70"/>
      <c r="V38" s="84">
        <f t="shared" si="23"/>
        <v>0</v>
      </c>
    </row>
    <row r="39" spans="1:23" ht="27.45" customHeight="1" x14ac:dyDescent="0.3">
      <c r="F39" s="11"/>
      <c r="K39" s="172" t="s">
        <v>67</v>
      </c>
      <c r="L39" s="173" t="s">
        <v>74</v>
      </c>
      <c r="M39" s="174" t="s">
        <v>98</v>
      </c>
      <c r="N39" s="75">
        <v>66</v>
      </c>
      <c r="O39" s="71">
        <v>109</v>
      </c>
      <c r="P39" s="71">
        <v>120</v>
      </c>
      <c r="Q39" s="72">
        <f>COUNTIF($A$35:$B$37,L39)</f>
        <v>0</v>
      </c>
      <c r="R39" s="73">
        <f>ROUND(IF(Q39&gt;0,('Cover Sheet &amp; Medications'!E12*365)/7,0),0)</f>
        <v>0</v>
      </c>
      <c r="S39" s="83">
        <f t="shared" si="5"/>
        <v>0</v>
      </c>
      <c r="T39" s="73"/>
      <c r="U39" s="73"/>
      <c r="V39" s="85">
        <f t="shared" si="23"/>
        <v>0</v>
      </c>
    </row>
    <row r="40" spans="1:23" ht="27.45" customHeight="1" x14ac:dyDescent="0.3">
      <c r="F40" s="11"/>
      <c r="K40" s="175"/>
      <c r="L40" s="176"/>
      <c r="M40" s="176"/>
      <c r="N40" s="168"/>
      <c r="O40" s="65"/>
      <c r="P40" s="181"/>
      <c r="Q40" s="171"/>
      <c r="R40" s="180"/>
      <c r="S40" s="82"/>
      <c r="T40" s="70"/>
      <c r="U40" s="70"/>
      <c r="V40" s="84">
        <f t="shared" si="23"/>
        <v>0</v>
      </c>
    </row>
    <row r="41" spans="1:23" ht="27.45" customHeight="1" x14ac:dyDescent="0.3">
      <c r="F41" s="11"/>
      <c r="K41" s="175"/>
      <c r="L41" s="176"/>
      <c r="M41" s="176"/>
      <c r="N41" s="168"/>
      <c r="O41" s="65"/>
      <c r="P41" s="168"/>
      <c r="Q41" s="171"/>
      <c r="R41" s="170"/>
      <c r="S41" s="82"/>
      <c r="T41" s="70"/>
      <c r="U41" s="70"/>
      <c r="V41" s="84">
        <f t="shared" si="23"/>
        <v>0</v>
      </c>
    </row>
    <row r="42" spans="1:23" ht="27.45" customHeight="1" x14ac:dyDescent="0.3">
      <c r="F42" s="11"/>
      <c r="K42" s="175"/>
      <c r="L42" s="176"/>
      <c r="M42" s="176"/>
      <c r="N42" s="168"/>
      <c r="O42" s="168"/>
      <c r="P42" s="168"/>
      <c r="Q42" s="171"/>
      <c r="R42" s="171"/>
      <c r="S42" s="82"/>
      <c r="T42" s="171"/>
      <c r="U42" s="170"/>
      <c r="V42" s="85">
        <f t="shared" si="23"/>
        <v>0</v>
      </c>
    </row>
    <row r="43" spans="1:23" ht="27.45" customHeight="1" x14ac:dyDescent="0.3">
      <c r="F43" s="11"/>
      <c r="K43" s="175"/>
      <c r="L43" s="176"/>
      <c r="M43" s="176"/>
      <c r="N43" s="168"/>
      <c r="O43" s="65"/>
      <c r="P43" s="168"/>
      <c r="Q43" s="171"/>
      <c r="R43" s="170"/>
      <c r="S43" s="82"/>
      <c r="T43" s="70"/>
      <c r="U43" s="70"/>
      <c r="V43" s="84">
        <f>Q43*R43*S43</f>
        <v>0</v>
      </c>
    </row>
    <row r="44" spans="1:23" ht="27.45" customHeight="1" x14ac:dyDescent="0.3">
      <c r="F44" s="11"/>
      <c r="K44" s="175"/>
      <c r="L44" s="176"/>
      <c r="M44" s="176"/>
      <c r="N44" s="71"/>
      <c r="O44" s="71"/>
      <c r="P44" s="71"/>
      <c r="Q44" s="73"/>
      <c r="R44" s="73"/>
      <c r="S44" s="82"/>
      <c r="T44" s="73"/>
      <c r="U44" s="73"/>
      <c r="V44" s="85">
        <f>Q44*R44*S44</f>
        <v>0</v>
      </c>
    </row>
    <row r="45" spans="1:23" ht="27.45" customHeight="1" x14ac:dyDescent="0.3">
      <c r="K45" s="177"/>
      <c r="L45" s="178" t="s">
        <v>143</v>
      </c>
      <c r="M45" s="179"/>
      <c r="N45" s="65">
        <v>29</v>
      </c>
      <c r="O45" s="65">
        <v>47</v>
      </c>
      <c r="P45" s="65">
        <v>52</v>
      </c>
      <c r="Q45" s="70"/>
      <c r="R45" s="70">
        <f>SUMIF(I18:I26,"Yes",J18:J26)</f>
        <v>0</v>
      </c>
      <c r="S45" s="82">
        <f t="shared" si="5"/>
        <v>0</v>
      </c>
      <c r="T45" s="70"/>
      <c r="U45" s="70"/>
      <c r="V45" s="85">
        <f>IF(R45&gt;0,R45*S45,0)</f>
        <v>0</v>
      </c>
    </row>
    <row r="46" spans="1:23" ht="27.45" customHeight="1" x14ac:dyDescent="0.3">
      <c r="N46" s="65"/>
      <c r="O46" s="65"/>
      <c r="P46" s="65"/>
      <c r="Q46" s="70"/>
      <c r="R46" s="70"/>
      <c r="S46" s="70"/>
      <c r="T46" s="70"/>
      <c r="U46" s="70"/>
      <c r="V46" s="74"/>
    </row>
    <row r="47" spans="1:23" ht="27.45" customHeight="1" x14ac:dyDescent="0.3">
      <c r="N47" s="65"/>
      <c r="O47" s="65"/>
      <c r="P47" s="65"/>
      <c r="Q47" s="70"/>
      <c r="R47" s="70"/>
      <c r="S47" s="70"/>
      <c r="T47" s="70"/>
      <c r="U47" s="70"/>
      <c r="V47" s="74"/>
    </row>
    <row r="48" spans="1:23" ht="27.45" customHeight="1" x14ac:dyDescent="0.3">
      <c r="N48" s="65"/>
      <c r="O48" s="65"/>
      <c r="P48" s="65"/>
      <c r="Q48" s="70"/>
      <c r="R48" s="70"/>
      <c r="S48" s="70"/>
      <c r="T48" s="70"/>
      <c r="U48" s="70"/>
      <c r="V48" s="74"/>
    </row>
    <row r="49" spans="14:22" ht="27.45" customHeight="1" x14ac:dyDescent="0.3">
      <c r="N49" s="65"/>
      <c r="O49" s="65"/>
      <c r="P49" s="65"/>
      <c r="Q49" s="70"/>
      <c r="R49" s="70"/>
      <c r="S49" s="70"/>
      <c r="T49" s="70"/>
      <c r="U49" s="70"/>
      <c r="V49" s="74"/>
    </row>
    <row r="50" spans="14:22" ht="27.45" customHeight="1" x14ac:dyDescent="0.3">
      <c r="N50" s="65"/>
      <c r="O50" s="65"/>
      <c r="P50" s="65"/>
      <c r="Q50" s="70"/>
      <c r="R50" s="70"/>
      <c r="S50" s="70"/>
      <c r="T50" s="70"/>
      <c r="U50" s="70"/>
      <c r="V50" s="74"/>
    </row>
    <row r="51" spans="14:22" ht="27.45" customHeight="1" x14ac:dyDescent="0.3">
      <c r="N51" s="65"/>
      <c r="O51" s="65"/>
      <c r="P51" s="65"/>
      <c r="Q51" s="70"/>
      <c r="R51" s="70"/>
      <c r="S51" s="70"/>
      <c r="T51" s="70"/>
      <c r="U51" s="70"/>
      <c r="V51" s="74"/>
    </row>
    <row r="52" spans="14:22" ht="27.45" customHeight="1" x14ac:dyDescent="0.3">
      <c r="N52" s="65"/>
      <c r="O52" s="65"/>
      <c r="P52" s="65"/>
      <c r="Q52" s="70"/>
      <c r="R52" s="70"/>
      <c r="S52" s="70"/>
      <c r="T52" s="70"/>
      <c r="U52" s="70"/>
      <c r="V52" s="74"/>
    </row>
    <row r="53" spans="14:22" ht="27.45" customHeight="1" x14ac:dyDescent="0.3">
      <c r="N53" s="65"/>
      <c r="O53" s="65"/>
      <c r="P53" s="65"/>
      <c r="Q53" s="70"/>
      <c r="R53" s="70"/>
      <c r="S53" s="70"/>
      <c r="T53" s="70"/>
      <c r="U53" s="70"/>
      <c r="V53" s="74"/>
    </row>
    <row r="54" spans="14:22" ht="27.45" customHeight="1" x14ac:dyDescent="0.3">
      <c r="N54" s="65"/>
      <c r="O54" s="65"/>
      <c r="P54" s="65"/>
      <c r="Q54" s="70"/>
      <c r="R54" s="70"/>
      <c r="S54" s="70"/>
      <c r="T54" s="70"/>
      <c r="U54" s="70"/>
      <c r="V54" s="74"/>
    </row>
    <row r="55" spans="14:22" ht="27.45" customHeight="1" x14ac:dyDescent="0.3">
      <c r="N55" s="65"/>
      <c r="O55" s="65"/>
      <c r="P55" s="65"/>
      <c r="Q55" s="70"/>
      <c r="R55" s="70"/>
      <c r="S55" s="70"/>
      <c r="T55" s="70"/>
      <c r="U55" s="70"/>
      <c r="V55" s="74"/>
    </row>
    <row r="56" spans="14:22" ht="27.45" customHeight="1" x14ac:dyDescent="0.3">
      <c r="N56" s="65"/>
      <c r="O56" s="65"/>
      <c r="P56" s="65"/>
      <c r="Q56" s="70"/>
      <c r="R56" s="70"/>
      <c r="S56" s="70"/>
      <c r="T56" s="70"/>
      <c r="U56" s="70"/>
      <c r="V56" s="74"/>
    </row>
    <row r="57" spans="14:22" ht="27.45" customHeight="1" x14ac:dyDescent="0.3">
      <c r="N57" s="65"/>
      <c r="O57" s="65"/>
      <c r="P57" s="65"/>
      <c r="Q57" s="70"/>
      <c r="R57" s="70"/>
      <c r="S57" s="70"/>
      <c r="T57" s="70"/>
      <c r="U57" s="70"/>
      <c r="V57" s="74"/>
    </row>
    <row r="58" spans="14:22" ht="27.45" customHeight="1" x14ac:dyDescent="0.3">
      <c r="N58" s="65"/>
      <c r="O58" s="65"/>
      <c r="P58" s="65"/>
      <c r="Q58" s="70"/>
      <c r="R58" s="70"/>
      <c r="S58" s="70"/>
      <c r="T58" s="70"/>
      <c r="U58" s="70"/>
      <c r="V58" s="74"/>
    </row>
    <row r="59" spans="14:22" ht="27.45" customHeight="1" x14ac:dyDescent="0.3">
      <c r="N59" s="65"/>
      <c r="O59" s="65"/>
      <c r="P59" s="65"/>
      <c r="Q59" s="70"/>
      <c r="R59" s="70"/>
      <c r="S59" s="70"/>
      <c r="T59" s="70"/>
      <c r="U59" s="70"/>
      <c r="V59" s="74"/>
    </row>
    <row r="60" spans="14:22" ht="27.45" customHeight="1" x14ac:dyDescent="0.3">
      <c r="N60" s="65"/>
      <c r="O60" s="65"/>
      <c r="P60" s="65"/>
      <c r="Q60" s="70"/>
      <c r="R60" s="70"/>
      <c r="S60" s="70"/>
      <c r="T60" s="70"/>
      <c r="U60" s="70"/>
      <c r="V60" s="74"/>
    </row>
    <row r="61" spans="14:22" ht="27.45" customHeight="1" x14ac:dyDescent="0.3">
      <c r="N61" s="65"/>
      <c r="O61" s="65"/>
      <c r="P61" s="65"/>
      <c r="Q61" s="70"/>
      <c r="R61" s="70"/>
      <c r="S61" s="70"/>
      <c r="T61" s="70"/>
      <c r="U61" s="70"/>
      <c r="V61" s="74"/>
    </row>
    <row r="62" spans="14:22" ht="27.45" customHeight="1" x14ac:dyDescent="0.3">
      <c r="N62" s="65"/>
      <c r="O62" s="65"/>
      <c r="P62" s="65"/>
      <c r="Q62" s="70"/>
      <c r="R62" s="70"/>
      <c r="S62" s="70"/>
      <c r="T62" s="70"/>
      <c r="U62" s="70"/>
      <c r="V62" s="74"/>
    </row>
    <row r="63" spans="14:22" ht="27.45" customHeight="1" x14ac:dyDescent="0.3"/>
    <row r="64" spans="14:22" ht="27.45" customHeight="1" x14ac:dyDescent="0.3"/>
    <row r="65" ht="27.45" customHeight="1" x14ac:dyDescent="0.3"/>
    <row r="66" ht="27.45" customHeight="1" x14ac:dyDescent="0.3"/>
    <row r="67" ht="27.45" customHeight="1" x14ac:dyDescent="0.3"/>
    <row r="68" ht="27.45" customHeight="1" x14ac:dyDescent="0.3"/>
    <row r="69" ht="27.45" customHeight="1" x14ac:dyDescent="0.3"/>
    <row r="70" ht="27.45" customHeight="1" x14ac:dyDescent="0.3"/>
    <row r="71" ht="27.45" customHeight="1" x14ac:dyDescent="0.3"/>
    <row r="72" ht="27.45" customHeight="1" x14ac:dyDescent="0.3"/>
    <row r="73" ht="27.45" customHeight="1" x14ac:dyDescent="0.3"/>
    <row r="74" ht="27.45" customHeight="1" x14ac:dyDescent="0.3"/>
    <row r="75" ht="27.45" customHeight="1" x14ac:dyDescent="0.3"/>
    <row r="76" ht="27.45" customHeight="1" x14ac:dyDescent="0.3"/>
    <row r="77" ht="27.45" customHeight="1" x14ac:dyDescent="0.3"/>
    <row r="78" ht="27.45" customHeight="1" x14ac:dyDescent="0.3"/>
    <row r="79" ht="27.45" customHeight="1" x14ac:dyDescent="0.3"/>
    <row r="80" ht="27.45" customHeight="1" x14ac:dyDescent="0.3"/>
    <row r="81" ht="27.45" customHeight="1" x14ac:dyDescent="0.3"/>
    <row r="82" ht="27.45" customHeight="1" x14ac:dyDescent="0.3"/>
    <row r="83" ht="27.45" customHeight="1" x14ac:dyDescent="0.3"/>
  </sheetData>
  <sheetProtection algorithmName="SHA-512" hashValue="SxBjFcw6faHIHvtuV+SBfmyxletPXB6ACCo7YhzVLUiYVjfKSTqM6XLlEq1qQiKw9sRua+4uc9wnymqEfYXkRA==" saltValue="pu/xZkNFDeRZ9au4dJylpg==" spinCount="100000" sheet="1" selectLockedCells="1"/>
  <mergeCells count="42">
    <mergeCell ref="A34:C34"/>
    <mergeCell ref="D34:I37"/>
    <mergeCell ref="A37:C37"/>
    <mergeCell ref="A36:C36"/>
    <mergeCell ref="A35:C35"/>
    <mergeCell ref="A7:B7"/>
    <mergeCell ref="A8:B8"/>
    <mergeCell ref="C21:D21"/>
    <mergeCell ref="C22:D22"/>
    <mergeCell ref="C23:D23"/>
    <mergeCell ref="A15:B15"/>
    <mergeCell ref="D4:I15"/>
    <mergeCell ref="A11:B11"/>
    <mergeCell ref="A12:B12"/>
    <mergeCell ref="A13:B13"/>
    <mergeCell ref="A14:B14"/>
    <mergeCell ref="A4:B4"/>
    <mergeCell ref="A5:B5"/>
    <mergeCell ref="A6:B6"/>
    <mergeCell ref="C24:D24"/>
    <mergeCell ref="A30:C30"/>
    <mergeCell ref="A31:C31"/>
    <mergeCell ref="A32:C32"/>
    <mergeCell ref="C25:D25"/>
    <mergeCell ref="C26:D26"/>
    <mergeCell ref="A28:C28"/>
    <mergeCell ref="A1:I1"/>
    <mergeCell ref="A33:I33"/>
    <mergeCell ref="A27:I27"/>
    <mergeCell ref="E28:I28"/>
    <mergeCell ref="E29:I32"/>
    <mergeCell ref="A16:I16"/>
    <mergeCell ref="D3:I3"/>
    <mergeCell ref="A3:B3"/>
    <mergeCell ref="A2:H2"/>
    <mergeCell ref="C17:D17"/>
    <mergeCell ref="C18:D18"/>
    <mergeCell ref="C19:D19"/>
    <mergeCell ref="C20:D20"/>
    <mergeCell ref="A9:B9"/>
    <mergeCell ref="A10:B10"/>
    <mergeCell ref="A29:C29"/>
  </mergeCells>
  <dataValidations count="7">
    <dataValidation type="list" allowBlank="1" showInputMessage="1" showErrorMessage="1" sqref="B18:B26" xr:uid="{00000000-0002-0000-0400-000002000000}">
      <formula1>$W$1:$W$2</formula1>
    </dataValidation>
    <dataValidation type="list" allowBlank="1" showInputMessage="1" showErrorMessage="1" sqref="A29:B32" xr:uid="{00000000-0002-0000-0400-000003000000}">
      <formula1>$L$27:$L$37</formula1>
    </dataValidation>
    <dataValidation type="whole" operator="greaterThan" allowBlank="1" showInputMessage="1" showErrorMessage="1" error="Enter a number greater than 0" sqref="D29:D32" xr:uid="{00000000-0002-0000-0400-000004000000}">
      <formula1>0</formula1>
    </dataValidation>
    <dataValidation type="whole" allowBlank="1" showInputMessage="1" showErrorMessage="1" sqref="F18:F26" xr:uid="{00000000-0002-0000-0400-000008000000}">
      <formula1>0</formula1>
      <formula2>10000</formula2>
    </dataValidation>
    <dataValidation type="list" allowBlank="1" showInputMessage="1" showErrorMessage="1" sqref="A35:C37" xr:uid="{40F1AA46-F51B-456B-9469-F255E45D484B}">
      <formula1>$L$39</formula1>
    </dataValidation>
    <dataValidation type="whole" allowBlank="1" showInputMessage="1" showErrorMessage="1" error="Please enter whole numbers" sqref="C4:C15" xr:uid="{00000000-0002-0000-0400-000001000000}">
      <formula1>1</formula1>
      <formula2>99999</formula2>
    </dataValidation>
    <dataValidation type="list" allowBlank="1" showInputMessage="1" showErrorMessage="1" sqref="B4:B10 A4:A15" xr:uid="{1EA362D2-78E4-441A-982A-8DAA8772EC88}">
      <formula1>$L$2:$L$15</formula1>
    </dataValidation>
  </dataValidation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9" tint="-0.249977111117893"/>
  </sheetPr>
  <dimension ref="A1:Z100"/>
  <sheetViews>
    <sheetView topLeftCell="B1" workbookViewId="0">
      <selection activeCell="C2" sqref="C2:D2"/>
    </sheetView>
  </sheetViews>
  <sheetFormatPr defaultColWidth="8.77734375" defaultRowHeight="14.4" x14ac:dyDescent="0.3"/>
  <cols>
    <col min="1" max="1" width="5.6640625" style="126" hidden="1" customWidth="1"/>
    <col min="2" max="2" width="49" style="97" customWidth="1"/>
    <col min="3" max="3" width="8.44140625" style="99" customWidth="1"/>
    <col min="4" max="4" width="11.44140625" style="100" customWidth="1"/>
    <col min="5" max="5" width="12.6640625" style="7" customWidth="1"/>
    <col min="6" max="6" width="5.44140625" style="7" hidden="1" customWidth="1"/>
    <col min="7" max="7" width="3" hidden="1" customWidth="1"/>
    <col min="8" max="8" width="57.44140625" hidden="1" customWidth="1"/>
    <col min="9" max="9" width="6.77734375" style="88" hidden="1" customWidth="1"/>
    <col min="10" max="11" width="8.77734375" hidden="1" customWidth="1"/>
    <col min="12" max="12" width="3" customWidth="1"/>
    <col min="13" max="13" width="20.44140625" hidden="1" customWidth="1"/>
    <col min="14" max="16" width="8.77734375" style="88" hidden="1" customWidth="1"/>
    <col min="17" max="17" width="8.77734375" hidden="1" customWidth="1"/>
    <col min="18" max="18" width="19.44140625" style="88" hidden="1" customWidth="1"/>
    <col min="19" max="19" width="22.21875" bestFit="1" customWidth="1"/>
    <col min="20" max="21" width="13.88671875" customWidth="1"/>
  </cols>
  <sheetData>
    <row r="1" spans="1:26" x14ac:dyDescent="0.3">
      <c r="B1" s="111" t="s">
        <v>120</v>
      </c>
      <c r="C1" s="638"/>
      <c r="D1" s="639"/>
      <c r="G1">
        <f>IF(H1="",0,1)</f>
        <v>0</v>
      </c>
      <c r="H1" t="str">
        <f>IF(C1="","",IF('Start Calc'!F55&lt;1,"","Initiation Fee:"))</f>
        <v/>
      </c>
      <c r="I1" s="88" t="str">
        <f>IF(H1="","",1)</f>
        <v/>
      </c>
      <c r="J1" t="str">
        <f>IF(H1="","",E6)</f>
        <v/>
      </c>
      <c r="K1" t="str">
        <f>IF(H1="","",VLOOKUP(C1,'Start Calc'!L1:M3,2,FALSE))</f>
        <v/>
      </c>
      <c r="L1" s="109"/>
      <c r="M1" s="108">
        <f ca="1">MAX(G:G)</f>
        <v>0</v>
      </c>
      <c r="N1" s="93"/>
      <c r="O1" s="93"/>
      <c r="P1" s="94"/>
      <c r="R1" s="88" t="s">
        <v>137</v>
      </c>
      <c r="S1" s="641" t="s">
        <v>152</v>
      </c>
      <c r="T1" s="641"/>
      <c r="U1" s="641"/>
      <c r="V1" s="641"/>
      <c r="W1" s="641"/>
      <c r="X1" s="642"/>
      <c r="Y1" s="642"/>
      <c r="Z1" s="642"/>
    </row>
    <row r="2" spans="1:26" ht="13.8" customHeight="1" x14ac:dyDescent="0.3">
      <c r="B2" s="111"/>
      <c r="C2" s="639"/>
      <c r="D2" s="639"/>
      <c r="G2">
        <f>IF(H2="",0,(MAX(G1)+1))</f>
        <v>0</v>
      </c>
      <c r="H2" t="str">
        <f>IF(C1="","",IF('Main Calc'!Y1="","",CONCATENATE("Annual Protocol Maintenance ",'Main Calc'!X1,":")))</f>
        <v/>
      </c>
      <c r="I2" s="88" t="str">
        <f>IF(H2="","",'Cover Sheet &amp; Medications'!E12)</f>
        <v/>
      </c>
      <c r="J2" t="str">
        <f>IF(H2="","",'Main Calc'!Y1/I2)</f>
        <v/>
      </c>
      <c r="K2" t="str">
        <f>IF(H2="","",'Main Calc'!Y1)</f>
        <v/>
      </c>
      <c r="L2" s="109"/>
      <c r="M2" s="11"/>
      <c r="N2" s="94"/>
      <c r="O2" s="94"/>
      <c r="P2" s="94"/>
      <c r="R2" s="88" t="s">
        <v>138</v>
      </c>
      <c r="S2" s="641"/>
      <c r="T2" s="641"/>
      <c r="U2" s="641"/>
      <c r="V2" s="641"/>
      <c r="W2" s="641"/>
      <c r="X2" s="642"/>
      <c r="Y2" s="642"/>
      <c r="Z2" s="642"/>
    </row>
    <row r="3" spans="1:26" x14ac:dyDescent="0.3">
      <c r="C3" s="640" t="str">
        <f>IF(C1="","","Estimate Total:")</f>
        <v/>
      </c>
      <c r="D3" s="640"/>
      <c r="E3" s="98" t="str">
        <f>IF(C3="","",SUM(E6:E52))</f>
        <v/>
      </c>
      <c r="F3" s="98"/>
      <c r="G3">
        <f>IF(H3="",0,(MAX(G1:G2))+1)</f>
        <v>0</v>
      </c>
      <c r="H3" t="str">
        <f>IF(C1="","","Study Closure &amp; Archival Costs:")</f>
        <v/>
      </c>
      <c r="I3" s="88" t="str">
        <f>IF(H3="","",1)</f>
        <v/>
      </c>
      <c r="J3" t="str">
        <f>IF(H3="","",K3)</f>
        <v/>
      </c>
      <c r="K3" t="str">
        <f>IF(H3="","",IF(C1="Non-Industry",369,IF(C1="Industry",609,671)))</f>
        <v/>
      </c>
      <c r="L3" s="109"/>
      <c r="M3" s="11"/>
      <c r="N3" s="94"/>
      <c r="O3" s="94"/>
      <c r="P3" s="94"/>
      <c r="R3" s="88" t="s">
        <v>139</v>
      </c>
    </row>
    <row r="4" spans="1:26" ht="13.2" customHeight="1" x14ac:dyDescent="0.3">
      <c r="G4">
        <f>IF(H4="",0,(MAX($G$1:G3)+1))</f>
        <v>0</v>
      </c>
      <c r="H4" t="str">
        <f>IF('Manufacturing-Testing-Other'!V2&gt;0,CONCATENATE('Manufacturing-Testing-Other'!K2,": ",'Manufacturing-Testing-Other'!L2),"")</f>
        <v/>
      </c>
      <c r="I4" s="88" t="str">
        <f>IF('Manufacturing-Testing-Other'!V2&gt;0,'Manufacturing-Testing-Other'!R2,"")</f>
        <v/>
      </c>
      <c r="J4" t="str">
        <f>IF('Manufacturing-Testing-Other'!V2&gt;0,'Manufacturing-Testing-Other'!S2,"")</f>
        <v/>
      </c>
      <c r="K4" t="str">
        <f>IF('Manufacturing-Testing-Other'!V2&gt;0,'Manufacturing-Testing-Other'!V2,"")</f>
        <v/>
      </c>
      <c r="L4" s="109"/>
      <c r="M4" s="11"/>
      <c r="N4" s="94"/>
      <c r="O4" s="94"/>
      <c r="P4" s="94"/>
      <c r="S4" s="313"/>
      <c r="T4" s="643" t="str">
        <f>IF(C1="","","Study Complexity Scores")</f>
        <v/>
      </c>
      <c r="U4" s="447"/>
    </row>
    <row r="5" spans="1:26" x14ac:dyDescent="0.3">
      <c r="B5" s="101" t="s">
        <v>116</v>
      </c>
      <c r="C5" s="102" t="s">
        <v>8</v>
      </c>
      <c r="D5" s="102" t="s">
        <v>117</v>
      </c>
      <c r="E5" s="102" t="s">
        <v>118</v>
      </c>
      <c r="F5" s="127"/>
      <c r="G5">
        <f>IF(H5="",0,(MAX($G$1:G4)+1))</f>
        <v>0</v>
      </c>
      <c r="H5" t="str">
        <f>IF('Manufacturing-Testing-Other'!V3&gt;0,CONCATENATE('Manufacturing-Testing-Other'!K3,": ",'Manufacturing-Testing-Other'!L3),"")</f>
        <v/>
      </c>
      <c r="I5" s="112" t="str">
        <f>IF('Manufacturing-Testing-Other'!V3&gt;0,'Manufacturing-Testing-Other'!R3,"")</f>
        <v/>
      </c>
      <c r="J5" t="str">
        <f>IF('Manufacturing-Testing-Other'!V3&gt;0,'Manufacturing-Testing-Other'!S3,"")</f>
        <v/>
      </c>
      <c r="K5" t="str">
        <f>IF('Manufacturing-Testing-Other'!V3&gt;0,'Manufacturing-Testing-Other'!V3,"")</f>
        <v/>
      </c>
      <c r="L5" s="109"/>
      <c r="M5" s="11"/>
      <c r="N5" s="94"/>
      <c r="O5" s="94"/>
      <c r="T5" s="10" t="str">
        <f>IF(T4="","","Initiation")</f>
        <v/>
      </c>
      <c r="U5" s="10" t="str">
        <f>IF(T4="","","Maintenance")</f>
        <v/>
      </c>
    </row>
    <row r="6" spans="1:26" ht="25.2" customHeight="1" x14ac:dyDescent="0.3">
      <c r="A6" s="126" t="str">
        <f ca="1">IF(M1&gt;0,1,"")</f>
        <v/>
      </c>
      <c r="B6" s="97" t="str">
        <f ca="1">IF(A6="","",VLOOKUP(A6,$G$1:$K$100,2,FALSE))</f>
        <v/>
      </c>
      <c r="C6" s="99" t="str">
        <f ca="1">IF(A6="","",VLOOKUP(A6,$G$1:$K$100,3,FALSE))</f>
        <v/>
      </c>
      <c r="D6" s="103" t="str">
        <f ca="1">IF(A6="","",VLOOKUP(A6,$G$1:$K$100,4,FALSE))</f>
        <v/>
      </c>
      <c r="E6" s="103" t="str">
        <f ca="1">IF(A6="","",VLOOKUP(A6,$G$1:$K$100,5,FALSE))</f>
        <v/>
      </c>
      <c r="F6" s="103"/>
      <c r="G6">
        <f>IF(H6="",0,(MAX($G$1:G5)+1))</f>
        <v>0</v>
      </c>
      <c r="H6" t="str">
        <f>IF('Manufacturing-Testing-Other'!V4&gt;0,CONCATENATE('Manufacturing-Testing-Other'!K4,": ",'Manufacturing-Testing-Other'!L4),"")</f>
        <v/>
      </c>
      <c r="I6" s="112" t="str">
        <f>IF('Manufacturing-Testing-Other'!V4&gt;0,'Manufacturing-Testing-Other'!R4,"")</f>
        <v/>
      </c>
      <c r="J6" t="str">
        <f>IF('Manufacturing-Testing-Other'!V4&gt;0,'Manufacturing-Testing-Other'!S4,"")</f>
        <v/>
      </c>
      <c r="K6" t="str">
        <f>IF('Manufacturing-Testing-Other'!V4&gt;0,'Manufacturing-Testing-Other'!V4,"")</f>
        <v/>
      </c>
      <c r="L6" s="109"/>
      <c r="M6" s="11"/>
      <c r="N6" s="94"/>
      <c r="O6" s="94"/>
      <c r="S6" s="297" t="str">
        <f>IF($T$4="","","Early Phase Studies")</f>
        <v/>
      </c>
      <c r="T6" s="315" t="str">
        <f>IF(S6="","",'Initiation &amp; Maintenance'!G26)</f>
        <v/>
      </c>
      <c r="U6" s="315" t="str">
        <f>IF(S6="","",'Initiation &amp; Maintenance'!H26)</f>
        <v/>
      </c>
    </row>
    <row r="7" spans="1:26" ht="25.2" customHeight="1" x14ac:dyDescent="0.3">
      <c r="A7" s="126" t="str">
        <f ca="1">IF(A6="","",IF($M$1&gt;=1+A6,A6+1,""))</f>
        <v/>
      </c>
      <c r="B7" s="97" t="str">
        <f t="shared" ref="B7:B70" ca="1" si="0">IF(A7="","",VLOOKUP(A7,$G$1:$K$100,2,FALSE))</f>
        <v/>
      </c>
      <c r="C7" s="99" t="str">
        <f t="shared" ref="C7:C52" ca="1" si="1">IF(A7="","",VLOOKUP(A7,$G$1:$K$100,3,FALSE))</f>
        <v/>
      </c>
      <c r="D7" s="103" t="str">
        <f t="shared" ref="D7:D52" ca="1" si="2">IF(A7="","",VLOOKUP(A7,$G$1:$K$100,4,FALSE))</f>
        <v/>
      </c>
      <c r="E7" s="103" t="str">
        <f t="shared" ref="E7:E52" ca="1" si="3">IF(A7="","",VLOOKUP(A7,$G$1:$K$100,5,FALSE))</f>
        <v/>
      </c>
      <c r="F7" s="103"/>
      <c r="G7">
        <f>IF(H7="",0,(MAX($G$1:G6)+1))</f>
        <v>0</v>
      </c>
      <c r="H7" t="str">
        <f>IF('Manufacturing-Testing-Other'!V5&gt;0,CONCATENATE('Manufacturing-Testing-Other'!K5,": ",'Manufacturing-Testing-Other'!L5),"")</f>
        <v/>
      </c>
      <c r="I7" s="112" t="str">
        <f>IF('Manufacturing-Testing-Other'!V5&gt;0,'Manufacturing-Testing-Other'!R5,"")</f>
        <v/>
      </c>
      <c r="J7" t="str">
        <f>IF('Manufacturing-Testing-Other'!V5&gt;0,'Manufacturing-Testing-Other'!S5,"")</f>
        <v/>
      </c>
      <c r="K7" t="str">
        <f>IF('Manufacturing-Testing-Other'!V5&gt;0,'Manufacturing-Testing-Other'!V5,"")</f>
        <v/>
      </c>
      <c r="L7" s="109"/>
      <c r="M7" s="11"/>
      <c r="N7" s="94"/>
      <c r="O7" s="94"/>
      <c r="S7" s="297" t="str">
        <f>IF($T$4="","","Complex IP Mgmt")</f>
        <v/>
      </c>
      <c r="T7" s="318" t="str">
        <f>IF(S7="","",'Initiation &amp; Maintenance'!G27+'Initiation &amp; Maintenance'!G28+'Initiation &amp; Maintenance'!G29+'Initiation &amp; Maintenance'!G30+'Initiation &amp; Maintenance'!G31)</f>
        <v/>
      </c>
      <c r="U7" s="318" t="str">
        <f>IF(S7="","",'Initiation &amp; Maintenance'!H27+'Initiation &amp; Maintenance'!H28+'Initiation &amp; Maintenance'!H29+'Initiation &amp; Maintenance'!H30+'Initiation &amp; Maintenance'!H31+'Initiation &amp; Maintenance'!O8)</f>
        <v/>
      </c>
    </row>
    <row r="8" spans="1:26" ht="25.2" customHeight="1" x14ac:dyDescent="0.3">
      <c r="A8" s="126" t="str">
        <f t="shared" ref="A8:A71" ca="1" si="4">IF(A7="","",IF($M$1&gt;=1+A7,A7+1,""))</f>
        <v/>
      </c>
      <c r="B8" s="97" t="str">
        <f t="shared" ca="1" si="0"/>
        <v/>
      </c>
      <c r="C8" s="99" t="str">
        <f t="shared" ca="1" si="1"/>
        <v/>
      </c>
      <c r="D8" s="103" t="str">
        <f t="shared" ca="1" si="2"/>
        <v/>
      </c>
      <c r="E8" s="103" t="str">
        <f t="shared" ca="1" si="3"/>
        <v/>
      </c>
      <c r="F8" s="103"/>
      <c r="G8">
        <f>IF(H8="",0,(MAX($G$1:G7)+1))</f>
        <v>0</v>
      </c>
      <c r="H8" t="str">
        <f>IF('Manufacturing-Testing-Other'!V6&gt;0,CONCATENATE('Manufacturing-Testing-Other'!K6,": ",'Manufacturing-Testing-Other'!L6),"")</f>
        <v/>
      </c>
      <c r="I8" s="112" t="str">
        <f>IF('Manufacturing-Testing-Other'!V6&gt;0,'Manufacturing-Testing-Other'!R6,"")</f>
        <v/>
      </c>
      <c r="J8" t="str">
        <f>IF('Manufacturing-Testing-Other'!V6&gt;0,'Manufacturing-Testing-Other'!S6,"")</f>
        <v/>
      </c>
      <c r="K8" t="str">
        <f>IF('Manufacturing-Testing-Other'!V6&gt;0,'Manufacturing-Testing-Other'!V6,"")</f>
        <v/>
      </c>
      <c r="L8" s="109"/>
      <c r="M8" s="11"/>
      <c r="N8" s="94"/>
      <c r="O8" s="94"/>
      <c r="S8" s="297" t="str">
        <f>IF($T$4="","","Complex Dispensing")</f>
        <v/>
      </c>
      <c r="T8" s="315" t="str">
        <f>IF(S8="","",'Initiation &amp; Maintenance'!O4)</f>
        <v/>
      </c>
      <c r="U8" s="315" t="str">
        <f>IF(S8="","",'Initiation &amp; Maintenance'!O4)</f>
        <v/>
      </c>
    </row>
    <row r="9" spans="1:26" ht="25.2" customHeight="1" x14ac:dyDescent="0.3">
      <c r="A9" s="126" t="str">
        <f t="shared" ca="1" si="4"/>
        <v/>
      </c>
      <c r="B9" s="97" t="str">
        <f t="shared" ca="1" si="0"/>
        <v/>
      </c>
      <c r="C9" s="99" t="str">
        <f t="shared" ca="1" si="1"/>
        <v/>
      </c>
      <c r="D9" s="103" t="str">
        <f t="shared" ca="1" si="2"/>
        <v/>
      </c>
      <c r="E9" s="103" t="str">
        <f t="shared" ca="1" si="3"/>
        <v/>
      </c>
      <c r="F9" s="104"/>
      <c r="G9">
        <f>IF(H9="",0,(MAX($G$1:G8)+1))</f>
        <v>0</v>
      </c>
      <c r="H9" t="str">
        <f>IF('Manufacturing-Testing-Other'!V7&gt;0,CONCATENATE('Manufacturing-Testing-Other'!K7,": ",'Manufacturing-Testing-Other'!L7),"")</f>
        <v/>
      </c>
      <c r="I9" s="112" t="str">
        <f>IF('Manufacturing-Testing-Other'!V7&gt;0,'Manufacturing-Testing-Other'!R7,"")</f>
        <v/>
      </c>
      <c r="J9" t="str">
        <f>IF('Manufacturing-Testing-Other'!V7&gt;0,'Manufacturing-Testing-Other'!S7,"")</f>
        <v/>
      </c>
      <c r="K9" t="str">
        <f>IF('Manufacturing-Testing-Other'!V7&gt;0,'Manufacturing-Testing-Other'!V7,"")</f>
        <v/>
      </c>
      <c r="L9" s="109"/>
      <c r="M9" s="11"/>
      <c r="N9" s="94"/>
      <c r="O9" s="94"/>
      <c r="P9" s="94"/>
      <c r="S9" s="297" t="str">
        <f>IF($T$4="","","Addl Documentation")</f>
        <v/>
      </c>
      <c r="T9" s="315" t="str">
        <f>IF(S9="","",'Initiation &amp; Maintenance'!N6+'Initiation &amp; Maintenance'!N7)</f>
        <v/>
      </c>
      <c r="U9" s="315" t="str">
        <f>IF(S9="","",'Initiation &amp; Maintenance'!O5+'Initiation &amp; Maintenance'!O6+'Initiation &amp; Maintenance'!O7)</f>
        <v/>
      </c>
    </row>
    <row r="10" spans="1:26" ht="25.2" customHeight="1" x14ac:dyDescent="0.3">
      <c r="A10" s="126" t="str">
        <f t="shared" ca="1" si="4"/>
        <v/>
      </c>
      <c r="B10" s="97" t="str">
        <f t="shared" ca="1" si="0"/>
        <v/>
      </c>
      <c r="C10" s="99" t="str">
        <f t="shared" ca="1" si="1"/>
        <v/>
      </c>
      <c r="D10" s="103" t="str">
        <f t="shared" ca="1" si="2"/>
        <v/>
      </c>
      <c r="E10" s="103" t="str">
        <f t="shared" ca="1" si="3"/>
        <v/>
      </c>
      <c r="F10" s="104"/>
      <c r="G10">
        <f>IF(H10="",0,(MAX($G$1:G9)+1))</f>
        <v>0</v>
      </c>
      <c r="H10" t="str">
        <f>IF('Manufacturing-Testing-Other'!V8&gt;0,CONCATENATE('Manufacturing-Testing-Other'!K8,": ",'Manufacturing-Testing-Other'!L8),"")</f>
        <v/>
      </c>
      <c r="I10" s="112" t="str">
        <f>IF('Manufacturing-Testing-Other'!V8&gt;0,'Manufacturing-Testing-Other'!R8,"")</f>
        <v/>
      </c>
      <c r="J10" t="str">
        <f>IF('Manufacturing-Testing-Other'!V8&gt;0,'Manufacturing-Testing-Other'!S8,"")</f>
        <v/>
      </c>
      <c r="K10" t="str">
        <f>IF('Manufacturing-Testing-Other'!V8&gt;0,'Manufacturing-Testing-Other'!V8,"")</f>
        <v/>
      </c>
      <c r="L10" s="91"/>
      <c r="M10" s="11"/>
      <c r="N10" s="94"/>
      <c r="O10" s="94"/>
      <c r="S10" s="297" t="str">
        <f>IF($T$4="","","Nonstandard Monitoring")</f>
        <v/>
      </c>
      <c r="T10" s="315" t="str">
        <f>IF(S10="","",'Initiation &amp; Maintenance'!G33)</f>
        <v/>
      </c>
      <c r="U10" s="315" t="str">
        <f>IF(S10="","",'Initiation &amp; Maintenance'!H32+'Initiation &amp; Maintenance'!H33)</f>
        <v/>
      </c>
    </row>
    <row r="11" spans="1:26" ht="25.2" customHeight="1" x14ac:dyDescent="0.3">
      <c r="A11" s="126" t="str">
        <f t="shared" ca="1" si="4"/>
        <v/>
      </c>
      <c r="B11" s="97" t="str">
        <f t="shared" ca="1" si="0"/>
        <v/>
      </c>
      <c r="C11" s="99" t="str">
        <f t="shared" ca="1" si="1"/>
        <v/>
      </c>
      <c r="D11" s="103" t="str">
        <f t="shared" ca="1" si="2"/>
        <v/>
      </c>
      <c r="E11" s="103" t="str">
        <f t="shared" ca="1" si="3"/>
        <v/>
      </c>
      <c r="F11" s="104"/>
      <c r="G11">
        <f>IF(H11="",0,(MAX($G$1:G10)+1))</f>
        <v>0</v>
      </c>
      <c r="H11" t="str">
        <f>IF('Manufacturing-Testing-Other'!V9&gt;0,CONCATENATE('Manufacturing-Testing-Other'!K9,": ",'Manufacturing-Testing-Other'!L9),"")</f>
        <v/>
      </c>
      <c r="I11" s="223" t="str">
        <f>IF('Manufacturing-Testing-Other'!V9&gt;0,'Manufacturing-Testing-Other'!R9,"")</f>
        <v/>
      </c>
      <c r="J11" t="str">
        <f>IF('Manufacturing-Testing-Other'!V9&gt;0,'Manufacturing-Testing-Other'!S9,"")</f>
        <v/>
      </c>
      <c r="K11" t="str">
        <f>IF('Manufacturing-Testing-Other'!V9&gt;0,'Manufacturing-Testing-Other'!V9,"")</f>
        <v/>
      </c>
      <c r="L11" s="91"/>
      <c r="S11" s="317" t="str">
        <f>IF($T$4="","","Addl Temp Monitoring")</f>
        <v/>
      </c>
      <c r="T11" s="315" t="str">
        <f>IF(S11="","",0)</f>
        <v/>
      </c>
      <c r="U11" s="315" t="str" cm="1">
        <f t="array" ref="U11">IF(S11="","",IF(AND('Manufacturing-Testing-Other'!A35:C35="",'Manufacturing-Testing-Other'!A36:C36="",'Manufacturing-Testing-Other'!A37:C37=""),0,1))</f>
        <v/>
      </c>
    </row>
    <row r="12" spans="1:26" ht="25.2" customHeight="1" x14ac:dyDescent="0.3">
      <c r="A12" s="126" t="str">
        <f t="shared" ca="1" si="4"/>
        <v/>
      </c>
      <c r="B12" s="97" t="str">
        <f t="shared" ca="1" si="0"/>
        <v/>
      </c>
      <c r="C12" s="99" t="str">
        <f t="shared" ca="1" si="1"/>
        <v/>
      </c>
      <c r="D12" s="103" t="str">
        <f t="shared" ca="1" si="2"/>
        <v/>
      </c>
      <c r="E12" s="103" t="str">
        <f t="shared" ca="1" si="3"/>
        <v/>
      </c>
      <c r="F12" s="104"/>
      <c r="G12">
        <f>IF(H12="",0,(MAX($G$1:G11)+1))</f>
        <v>0</v>
      </c>
      <c r="H12" t="str">
        <f>IF('Manufacturing-Testing-Other'!V10&gt;0,CONCATENATE('Manufacturing-Testing-Other'!K10,": ",'Manufacturing-Testing-Other'!L10),"")</f>
        <v/>
      </c>
      <c r="I12" s="223" t="str">
        <f>IF('Manufacturing-Testing-Other'!V10&gt;0,'Manufacturing-Testing-Other'!R10,"")</f>
        <v/>
      </c>
      <c r="J12" t="str">
        <f>IF('Manufacturing-Testing-Other'!V10&gt;0,'Manufacturing-Testing-Other'!S10,"")</f>
        <v/>
      </c>
      <c r="K12" t="str">
        <f>IF('Manufacturing-Testing-Other'!V10&gt;0,'Manufacturing-Testing-Other'!V10,"")</f>
        <v/>
      </c>
      <c r="L12" s="91"/>
      <c r="S12" s="297" t="str">
        <f>IF($T$4="","","Site Specific")</f>
        <v/>
      </c>
      <c r="T12" s="318" t="str">
        <f>IF(S12="","",'Initiation &amp; Maintenance'!G13+'Initiation &amp; Maintenance'!G34+'Initiation &amp; Maintenance'!G35+'Initiation &amp; Maintenance'!G36+'Initiation &amp; Maintenance'!G37)</f>
        <v/>
      </c>
      <c r="U12" s="318" t="str">
        <f>IF(S12="","",'Initiation &amp; Maintenance'!H34+'Initiation &amp; Maintenance'!H35+'Initiation &amp; Maintenance'!H36+'Initiation &amp; Maintenance'!H37)</f>
        <v/>
      </c>
    </row>
    <row r="13" spans="1:26" ht="25.2" customHeight="1" x14ac:dyDescent="0.3">
      <c r="A13" s="126" t="str">
        <f t="shared" ca="1" si="4"/>
        <v/>
      </c>
      <c r="B13" s="97" t="str">
        <f t="shared" ca="1" si="0"/>
        <v/>
      </c>
      <c r="C13" s="99" t="str">
        <f t="shared" ca="1" si="1"/>
        <v/>
      </c>
      <c r="D13" s="103" t="str">
        <f t="shared" ca="1" si="2"/>
        <v/>
      </c>
      <c r="E13" s="103" t="str">
        <f t="shared" ca="1" si="3"/>
        <v/>
      </c>
      <c r="F13" s="104"/>
      <c r="G13">
        <f>IF(H13="",0,(MAX($G$1:G12)+1))</f>
        <v>0</v>
      </c>
      <c r="H13" t="str">
        <f>IF('Manufacturing-Testing-Other'!V11&gt;0,CONCATENATE('Manufacturing-Testing-Other'!K11,": ",'Manufacturing-Testing-Other'!L11),"")</f>
        <v/>
      </c>
      <c r="I13" s="285" t="str">
        <f>IF('Manufacturing-Testing-Other'!V11&gt;0,'Manufacturing-Testing-Other'!R11,"")</f>
        <v/>
      </c>
      <c r="J13" t="str">
        <f>IF('Manufacturing-Testing-Other'!V11&gt;0,'Manufacturing-Testing-Other'!S11,"")</f>
        <v/>
      </c>
      <c r="K13" t="str">
        <f>IF('Manufacturing-Testing-Other'!V11&gt;0,'Manufacturing-Testing-Other'!V11,"")</f>
        <v/>
      </c>
      <c r="L13" s="91"/>
      <c r="S13" s="297"/>
      <c r="T13" s="315"/>
      <c r="U13" s="315"/>
    </row>
    <row r="14" spans="1:26" ht="25.2" customHeight="1" x14ac:dyDescent="0.3">
      <c r="A14" s="126" t="str">
        <f t="shared" ca="1" si="4"/>
        <v/>
      </c>
      <c r="B14" s="97" t="str">
        <f t="shared" ca="1" si="0"/>
        <v/>
      </c>
      <c r="C14" s="99" t="str">
        <f t="shared" ca="1" si="1"/>
        <v/>
      </c>
      <c r="D14" s="103" t="str">
        <f t="shared" ca="1" si="2"/>
        <v/>
      </c>
      <c r="E14" s="103" t="str">
        <f t="shared" ca="1" si="3"/>
        <v/>
      </c>
      <c r="F14" s="104"/>
      <c r="G14">
        <f>IF(H14="",0,(MAX($G$1:G13)+1))</f>
        <v>0</v>
      </c>
      <c r="H14" t="str">
        <f>IF('Manufacturing-Testing-Other'!V12&gt;0,CONCATENATE('Manufacturing-Testing-Other'!K12,": ",'Manufacturing-Testing-Other'!L12),"")</f>
        <v/>
      </c>
      <c r="I14" s="285" t="str">
        <f>IF('Manufacturing-Testing-Other'!V12&gt;0,'Manufacturing-Testing-Other'!R12,"")</f>
        <v/>
      </c>
      <c r="J14" t="str">
        <f>IF('Manufacturing-Testing-Other'!V12&gt;0,'Manufacturing-Testing-Other'!S12,"")</f>
        <v/>
      </c>
      <c r="K14" t="str">
        <f>IF('Manufacturing-Testing-Other'!V12&gt;0,'Manufacturing-Testing-Other'!V12,"")</f>
        <v/>
      </c>
      <c r="L14" s="91"/>
      <c r="S14" s="297" t="str">
        <f>IF($T$4="","","Total Score")</f>
        <v/>
      </c>
      <c r="T14" s="316" t="str">
        <f>IF(S14="","",SUM(T6:T13))</f>
        <v/>
      </c>
      <c r="U14" s="316" t="str">
        <f>IF(T14="","",SUM(U6:U13))</f>
        <v/>
      </c>
    </row>
    <row r="15" spans="1:26" ht="25.2" customHeight="1" x14ac:dyDescent="0.3">
      <c r="A15" s="126" t="str">
        <f t="shared" ca="1" si="4"/>
        <v/>
      </c>
      <c r="B15" s="97" t="str">
        <f t="shared" ca="1" si="0"/>
        <v/>
      </c>
      <c r="C15" s="99" t="str">
        <f t="shared" ca="1" si="1"/>
        <v/>
      </c>
      <c r="D15" s="103" t="str">
        <f t="shared" ca="1" si="2"/>
        <v/>
      </c>
      <c r="E15" s="103" t="str">
        <f t="shared" ca="1" si="3"/>
        <v/>
      </c>
      <c r="F15" s="104"/>
      <c r="G15">
        <f>IF(H15="",0,(MAX($G$1:G14)+1))</f>
        <v>0</v>
      </c>
      <c r="H15" t="str">
        <f>IF('Manufacturing-Testing-Other'!V13&gt;0,CONCATENATE('Manufacturing-Testing-Other'!K13,": ",'Manufacturing-Testing-Other'!L13),"")</f>
        <v/>
      </c>
      <c r="I15" s="285" t="str">
        <f>IF('Manufacturing-Testing-Other'!V13&gt;0,'Manufacturing-Testing-Other'!R13,"")</f>
        <v/>
      </c>
      <c r="J15" t="str">
        <f>IF('Manufacturing-Testing-Other'!V13&gt;0,'Manufacturing-Testing-Other'!S13,"")</f>
        <v/>
      </c>
      <c r="K15" t="str">
        <f>IF('Manufacturing-Testing-Other'!V13&gt;0,'Manufacturing-Testing-Other'!V13,"")</f>
        <v/>
      </c>
      <c r="L15" s="91"/>
      <c r="O15" s="94"/>
      <c r="S15" s="297"/>
      <c r="T15" s="316"/>
      <c r="U15" s="316"/>
    </row>
    <row r="16" spans="1:26" ht="25.2" customHeight="1" x14ac:dyDescent="0.3">
      <c r="A16" s="126" t="str">
        <f t="shared" ca="1" si="4"/>
        <v/>
      </c>
      <c r="B16" s="97" t="str">
        <f t="shared" ca="1" si="0"/>
        <v/>
      </c>
      <c r="C16" s="99" t="str">
        <f t="shared" ca="1" si="1"/>
        <v/>
      </c>
      <c r="D16" s="103" t="str">
        <f t="shared" ca="1" si="2"/>
        <v/>
      </c>
      <c r="E16" s="103" t="str">
        <f t="shared" ca="1" si="3"/>
        <v/>
      </c>
      <c r="F16" s="104"/>
      <c r="G16">
        <f>IF(H16="",0,(MAX($G$1:G15)+1))</f>
        <v>0</v>
      </c>
      <c r="H16" t="str">
        <f>IF('Manufacturing-Testing-Other'!V14&gt;0,CONCATENATE('Manufacturing-Testing-Other'!K14,": ",'Manufacturing-Testing-Other'!L14),"")</f>
        <v/>
      </c>
      <c r="I16" s="285" t="str">
        <f>IF('Manufacturing-Testing-Other'!V14&gt;0,'Manufacturing-Testing-Other'!R14,"")</f>
        <v/>
      </c>
      <c r="J16" t="str">
        <f>IF('Manufacturing-Testing-Other'!V14&gt;0,'Manufacturing-Testing-Other'!S14,"")</f>
        <v/>
      </c>
      <c r="K16" t="str">
        <f>IF('Manufacturing-Testing-Other'!V14&gt;0,'Manufacturing-Testing-Other'!V14,"")</f>
        <v/>
      </c>
      <c r="L16" s="91"/>
    </row>
    <row r="17" spans="1:12" ht="25.2" customHeight="1" x14ac:dyDescent="0.3">
      <c r="A17" s="126" t="str">
        <f t="shared" ca="1" si="4"/>
        <v/>
      </c>
      <c r="B17" s="97" t="str">
        <f t="shared" ca="1" si="0"/>
        <v/>
      </c>
      <c r="C17" s="99" t="str">
        <f t="shared" ca="1" si="1"/>
        <v/>
      </c>
      <c r="D17" s="103" t="str">
        <f t="shared" ca="1" si="2"/>
        <v/>
      </c>
      <c r="E17" s="103" t="str">
        <f t="shared" ca="1" si="3"/>
        <v/>
      </c>
      <c r="F17" s="104"/>
      <c r="G17">
        <f>IF(H17="",0,(MAX($G$1:G16)+1))</f>
        <v>0</v>
      </c>
      <c r="H17" t="str">
        <f>IF('Manufacturing-Testing-Other'!V15&gt;0,CONCATENATE('Manufacturing-Testing-Other'!K15,": ",'Manufacturing-Testing-Other'!L15),"")</f>
        <v/>
      </c>
      <c r="I17" s="285" t="str">
        <f>IF('Manufacturing-Testing-Other'!V15&gt;0,'Manufacturing-Testing-Other'!R15,"")</f>
        <v/>
      </c>
      <c r="J17" t="str">
        <f>IF('Manufacturing-Testing-Other'!V15&gt;0,'Manufacturing-Testing-Other'!S15,"")</f>
        <v/>
      </c>
      <c r="K17" t="str">
        <f>IF('Manufacturing-Testing-Other'!V15&gt;0,'Manufacturing-Testing-Other'!V15,"")</f>
        <v/>
      </c>
      <c r="L17" s="91"/>
    </row>
    <row r="18" spans="1:12" ht="25.2" customHeight="1" x14ac:dyDescent="0.3">
      <c r="A18" s="126" t="str">
        <f t="shared" ca="1" si="4"/>
        <v/>
      </c>
      <c r="B18" s="97" t="str">
        <f t="shared" ca="1" si="0"/>
        <v/>
      </c>
      <c r="C18" s="99" t="str">
        <f t="shared" ca="1" si="1"/>
        <v/>
      </c>
      <c r="D18" s="103" t="str">
        <f t="shared" ca="1" si="2"/>
        <v/>
      </c>
      <c r="E18" s="103" t="str">
        <f t="shared" ca="1" si="3"/>
        <v/>
      </c>
      <c r="F18" s="104"/>
      <c r="G18">
        <f>IF(H18="",0,(MAX($G$1:G17)+1))</f>
        <v>0</v>
      </c>
      <c r="H18" s="192" t="str">
        <f>IF($C$1="","",IF('Manufacturing-Testing-Other'!AC9="","",'Manufacturing-Testing-Other'!AC9))</f>
        <v/>
      </c>
      <c r="I18" s="193" t="str">
        <f>IF(H18="","",'Manufacturing-Testing-Other'!AD9)</f>
        <v/>
      </c>
      <c r="J18" s="192" t="str">
        <f>IF(H18="","",'Manufacturing-Testing-Other'!AE9)</f>
        <v/>
      </c>
      <c r="K18" s="192" t="str">
        <f>IF(H18="","",'Manufacturing-Testing-Other'!AF9)</f>
        <v/>
      </c>
      <c r="L18" s="91"/>
    </row>
    <row r="19" spans="1:12" ht="25.2" customHeight="1" x14ac:dyDescent="0.3">
      <c r="A19" s="126" t="str">
        <f t="shared" ca="1" si="4"/>
        <v/>
      </c>
      <c r="B19" s="97" t="str">
        <f t="shared" ca="1" si="0"/>
        <v/>
      </c>
      <c r="C19" s="99" t="str">
        <f t="shared" ca="1" si="1"/>
        <v/>
      </c>
      <c r="D19" s="103" t="str">
        <f t="shared" ca="1" si="2"/>
        <v/>
      </c>
      <c r="E19" s="103" t="str">
        <f t="shared" ca="1" si="3"/>
        <v/>
      </c>
      <c r="F19" s="104"/>
      <c r="G19">
        <f>IF(H19="",0,(MAX($G$1:G18)+1))</f>
        <v>0</v>
      </c>
      <c r="H19" s="192" t="str">
        <f>IF($C$1="","",IF('Manufacturing-Testing-Other'!AC10="","",'Manufacturing-Testing-Other'!AC10))</f>
        <v/>
      </c>
      <c r="I19" s="193" t="str">
        <f>IF(H19="","",'Manufacturing-Testing-Other'!AD10)</f>
        <v/>
      </c>
      <c r="J19" s="192" t="str">
        <f>IF(H19="","",'Manufacturing-Testing-Other'!AE10)</f>
        <v/>
      </c>
      <c r="K19" s="192" t="str">
        <f>IF(H19="","",'Manufacturing-Testing-Other'!AF10)</f>
        <v/>
      </c>
      <c r="L19" s="91"/>
    </row>
    <row r="20" spans="1:12" ht="25.2" customHeight="1" x14ac:dyDescent="0.3">
      <c r="A20" s="126" t="str">
        <f t="shared" ca="1" si="4"/>
        <v/>
      </c>
      <c r="B20" s="97" t="str">
        <f t="shared" ca="1" si="0"/>
        <v/>
      </c>
      <c r="C20" s="99" t="str">
        <f t="shared" ca="1" si="1"/>
        <v/>
      </c>
      <c r="D20" s="103" t="str">
        <f t="shared" ca="1" si="2"/>
        <v/>
      </c>
      <c r="E20" s="103" t="str">
        <f t="shared" ca="1" si="3"/>
        <v/>
      </c>
      <c r="F20" s="104"/>
      <c r="G20">
        <f>IF(H20="",0,(MAX($G$1:G19)+1))</f>
        <v>0</v>
      </c>
      <c r="H20" s="192" t="str">
        <f>IF($C$1="","",IF('Manufacturing-Testing-Other'!AC11="","",'Manufacturing-Testing-Other'!AC11))</f>
        <v/>
      </c>
      <c r="I20" s="193" t="str">
        <f>IF(H20="","",'Manufacturing-Testing-Other'!AD11)</f>
        <v/>
      </c>
      <c r="J20" s="192" t="str">
        <f>IF(H20="","",'Manufacturing-Testing-Other'!AE11)</f>
        <v/>
      </c>
      <c r="K20" s="192" t="str">
        <f>IF(H20="","",'Manufacturing-Testing-Other'!AF11)</f>
        <v/>
      </c>
      <c r="L20" s="91"/>
    </row>
    <row r="21" spans="1:12" ht="25.2" customHeight="1" x14ac:dyDescent="0.3">
      <c r="A21" s="126" t="str">
        <f t="shared" ca="1" si="4"/>
        <v/>
      </c>
      <c r="B21" s="97" t="str">
        <f t="shared" ca="1" si="0"/>
        <v/>
      </c>
      <c r="C21" s="99" t="str">
        <f t="shared" ca="1" si="1"/>
        <v/>
      </c>
      <c r="D21" s="103" t="str">
        <f t="shared" ca="1" si="2"/>
        <v/>
      </c>
      <c r="E21" s="103" t="str">
        <f t="shared" ca="1" si="3"/>
        <v/>
      </c>
      <c r="F21" s="104"/>
      <c r="G21">
        <f>IF(H21="",0,(MAX($G$1:G20)+1))</f>
        <v>0</v>
      </c>
      <c r="H21" s="192" t="str">
        <f>IF($C$1="","",IF('Manufacturing-Testing-Other'!AC12="","",'Manufacturing-Testing-Other'!AC12))</f>
        <v/>
      </c>
      <c r="I21" s="193" t="str">
        <f>IF(H21="","",'Manufacturing-Testing-Other'!AD12)</f>
        <v/>
      </c>
      <c r="J21" s="192" t="str">
        <f>IF(H21="","",'Manufacturing-Testing-Other'!AE12)</f>
        <v/>
      </c>
      <c r="K21" s="192" t="str">
        <f>IF(H21="","",'Manufacturing-Testing-Other'!AF12)</f>
        <v/>
      </c>
      <c r="L21" s="91"/>
    </row>
    <row r="22" spans="1:12" ht="25.2" customHeight="1" x14ac:dyDescent="0.3">
      <c r="A22" s="126" t="str">
        <f t="shared" ca="1" si="4"/>
        <v/>
      </c>
      <c r="B22" s="97" t="str">
        <f t="shared" ca="1" si="0"/>
        <v/>
      </c>
      <c r="C22" s="99" t="str">
        <f t="shared" ca="1" si="1"/>
        <v/>
      </c>
      <c r="D22" s="103" t="str">
        <f t="shared" ca="1" si="2"/>
        <v/>
      </c>
      <c r="E22" s="103" t="str">
        <f t="shared" ca="1" si="3"/>
        <v/>
      </c>
      <c r="F22" s="104"/>
      <c r="G22">
        <f>IF(H22="",0,(MAX($G$1:G21)+1))</f>
        <v>0</v>
      </c>
      <c r="H22" s="192" t="str">
        <f>IF($C$1="","",IF('Manufacturing-Testing-Other'!AC13="","",'Manufacturing-Testing-Other'!AC13))</f>
        <v/>
      </c>
      <c r="I22" s="193" t="str">
        <f>IF(H22="","",'Manufacturing-Testing-Other'!AD13)</f>
        <v/>
      </c>
      <c r="J22" s="192" t="str">
        <f>IF(H22="","",'Manufacturing-Testing-Other'!AE13)</f>
        <v/>
      </c>
      <c r="K22" s="192" t="str">
        <f>IF(H22="","",'Manufacturing-Testing-Other'!AF13)</f>
        <v/>
      </c>
      <c r="L22" s="91"/>
    </row>
    <row r="23" spans="1:12" ht="25.2" customHeight="1" x14ac:dyDescent="0.3">
      <c r="A23" s="126" t="str">
        <f t="shared" ca="1" si="4"/>
        <v/>
      </c>
      <c r="B23" s="97" t="str">
        <f t="shared" ca="1" si="0"/>
        <v/>
      </c>
      <c r="C23" s="99" t="str">
        <f t="shared" ca="1" si="1"/>
        <v/>
      </c>
      <c r="D23" s="103" t="str">
        <f t="shared" ca="1" si="2"/>
        <v/>
      </c>
      <c r="E23" s="103" t="str">
        <f t="shared" ca="1" si="3"/>
        <v/>
      </c>
      <c r="F23" s="104"/>
      <c r="G23">
        <f>IF(H23="",0,(MAX($G$1:G22)+1))</f>
        <v>0</v>
      </c>
      <c r="H23" s="192" t="str">
        <f>IF($C$1="","",IF('Manufacturing-Testing-Other'!AC14="","",'Manufacturing-Testing-Other'!AC14))</f>
        <v/>
      </c>
      <c r="I23" s="193" t="str">
        <f>IF(H23="","",'Manufacturing-Testing-Other'!AD14)</f>
        <v/>
      </c>
      <c r="J23" s="192" t="str">
        <f>IF(H23="","",'Manufacturing-Testing-Other'!AE14)</f>
        <v/>
      </c>
      <c r="K23" s="192" t="str">
        <f>IF(H23="","",'Manufacturing-Testing-Other'!AF14)</f>
        <v/>
      </c>
      <c r="L23" s="91"/>
    </row>
    <row r="24" spans="1:12" ht="25.2" customHeight="1" x14ac:dyDescent="0.3">
      <c r="A24" s="126" t="str">
        <f t="shared" ca="1" si="4"/>
        <v/>
      </c>
      <c r="B24" s="97" t="str">
        <f t="shared" ca="1" si="0"/>
        <v/>
      </c>
      <c r="C24" s="99" t="str">
        <f t="shared" ca="1" si="1"/>
        <v/>
      </c>
      <c r="D24" s="103" t="str">
        <f t="shared" ca="1" si="2"/>
        <v/>
      </c>
      <c r="E24" s="103" t="str">
        <f t="shared" ca="1" si="3"/>
        <v/>
      </c>
      <c r="F24" s="104"/>
      <c r="G24">
        <f>IF(H24="",0,(MAX($G$1:G23)+1))</f>
        <v>0</v>
      </c>
      <c r="H24" s="192" t="str">
        <f>IF($C$1="","",IF('Manufacturing-Testing-Other'!AC15="","",'Manufacturing-Testing-Other'!AC15))</f>
        <v/>
      </c>
      <c r="I24" s="193" t="str">
        <f>IF(H24="","",'Manufacturing-Testing-Other'!AD15)</f>
        <v/>
      </c>
      <c r="J24" s="192" t="str">
        <f>IF(H24="","",'Manufacturing-Testing-Other'!AE15)</f>
        <v/>
      </c>
      <c r="K24" s="192" t="str">
        <f>IF(H24="","",'Manufacturing-Testing-Other'!AF15)</f>
        <v/>
      </c>
      <c r="L24" s="91"/>
    </row>
    <row r="25" spans="1:12" ht="25.2" customHeight="1" x14ac:dyDescent="0.3">
      <c r="A25" s="126" t="str">
        <f t="shared" ca="1" si="4"/>
        <v/>
      </c>
      <c r="B25" s="97" t="str">
        <f t="shared" ca="1" si="0"/>
        <v/>
      </c>
      <c r="C25" s="99" t="str">
        <f t="shared" ca="1" si="1"/>
        <v/>
      </c>
      <c r="D25" s="103" t="str">
        <f t="shared" ca="1" si="2"/>
        <v/>
      </c>
      <c r="E25" s="103" t="str">
        <f t="shared" ca="1" si="3"/>
        <v/>
      </c>
      <c r="F25" s="104"/>
      <c r="G25">
        <f>IF(H25="",0,(MAX($G$1:G24)+1))</f>
        <v>0</v>
      </c>
      <c r="H25" s="192" t="str">
        <f>IF($C$1="","",IF('Manufacturing-Testing-Other'!AC16="","",'Manufacturing-Testing-Other'!AC16))</f>
        <v/>
      </c>
      <c r="I25" s="193" t="str">
        <f>IF(H25="","",'Manufacturing-Testing-Other'!AD16)</f>
        <v/>
      </c>
      <c r="J25" s="192" t="str">
        <f>IF(H25="","",'Manufacturing-Testing-Other'!AE16)</f>
        <v/>
      </c>
      <c r="K25" s="192" t="str">
        <f>IF(H25="","",'Manufacturing-Testing-Other'!AF16)</f>
        <v/>
      </c>
      <c r="L25" s="91"/>
    </row>
    <row r="26" spans="1:12" ht="25.2" customHeight="1" x14ac:dyDescent="0.3">
      <c r="A26" s="126" t="str">
        <f t="shared" ca="1" si="4"/>
        <v/>
      </c>
      <c r="B26" s="97" t="str">
        <f t="shared" ca="1" si="0"/>
        <v/>
      </c>
      <c r="C26" s="99" t="str">
        <f t="shared" ca="1" si="1"/>
        <v/>
      </c>
      <c r="D26" s="103" t="str">
        <f t="shared" ca="1" si="2"/>
        <v/>
      </c>
      <c r="E26" s="103" t="str">
        <f t="shared" ca="1" si="3"/>
        <v/>
      </c>
      <c r="F26" s="104"/>
      <c r="G26">
        <f>IF(H26="",0,(MAX($G$1:G25)+1))</f>
        <v>0</v>
      </c>
      <c r="H26" s="192" t="str">
        <f>IF($C$1="","",IF('Manufacturing-Testing-Other'!AC17="","",'Manufacturing-Testing-Other'!AC17))</f>
        <v/>
      </c>
      <c r="I26" s="193" t="str">
        <f>IF(H26="","",'Manufacturing-Testing-Other'!AD17)</f>
        <v/>
      </c>
      <c r="J26" s="192" t="str">
        <f>IF(H26="","",'Manufacturing-Testing-Other'!AE17)</f>
        <v/>
      </c>
      <c r="K26" s="192" t="str">
        <f>IF(H26="","",'Manufacturing-Testing-Other'!AF17)</f>
        <v/>
      </c>
      <c r="L26" s="91"/>
    </row>
    <row r="27" spans="1:12" ht="25.2" customHeight="1" x14ac:dyDescent="0.3">
      <c r="A27" s="126" t="str">
        <f t="shared" ca="1" si="4"/>
        <v/>
      </c>
      <c r="B27" s="97" t="str">
        <f t="shared" ca="1" si="0"/>
        <v/>
      </c>
      <c r="C27" s="99" t="str">
        <f t="shared" ca="1" si="1"/>
        <v/>
      </c>
      <c r="D27" s="103" t="str">
        <f t="shared" ca="1" si="2"/>
        <v/>
      </c>
      <c r="E27" s="103" t="str">
        <f t="shared" ca="1" si="3"/>
        <v/>
      </c>
      <c r="F27" s="104"/>
      <c r="G27">
        <f ca="1">IF(H27="",0,(MAX($G$1:G26)+1))</f>
        <v>0</v>
      </c>
      <c r="H27" t="str">
        <f ca="1">IF('Manufacturing-Testing-Other'!V27&gt;0,CONCATENATE('Manufacturing-Testing-Other'!K27,": ",'Manufacturing-Testing-Other'!L27),"")</f>
        <v/>
      </c>
      <c r="I27" s="112" t="str">
        <f ca="1">IF('Manufacturing-Testing-Other'!V27&gt;0,'Manufacturing-Testing-Other'!R27,"")</f>
        <v/>
      </c>
      <c r="J27" t="str">
        <f ca="1">IF('Manufacturing-Testing-Other'!V27&gt;0,'Manufacturing-Testing-Other'!S27,"")</f>
        <v/>
      </c>
      <c r="K27" t="str">
        <f ca="1">IF('Manufacturing-Testing-Other'!V27&gt;0,'Manufacturing-Testing-Other'!V27,"")</f>
        <v/>
      </c>
      <c r="L27" s="91"/>
    </row>
    <row r="28" spans="1:12" ht="25.2" customHeight="1" x14ac:dyDescent="0.3">
      <c r="A28" s="126" t="str">
        <f t="shared" ca="1" si="4"/>
        <v/>
      </c>
      <c r="B28" s="97" t="str">
        <f t="shared" ca="1" si="0"/>
        <v/>
      </c>
      <c r="C28" s="99" t="str">
        <f t="shared" ca="1" si="1"/>
        <v/>
      </c>
      <c r="D28" s="103" t="str">
        <f t="shared" ca="1" si="2"/>
        <v/>
      </c>
      <c r="E28" s="103" t="str">
        <f t="shared" ca="1" si="3"/>
        <v/>
      </c>
      <c r="F28" s="104"/>
      <c r="G28">
        <f ca="1">IF(H28="",0,(MAX($G$1:G27)+1))</f>
        <v>0</v>
      </c>
      <c r="H28" t="str">
        <f ca="1">IF('Manufacturing-Testing-Other'!V28&gt;0,CONCATENATE('Manufacturing-Testing-Other'!K28,": ",'Manufacturing-Testing-Other'!L28),"")</f>
        <v/>
      </c>
      <c r="I28" s="285" t="str">
        <f ca="1">IF('Manufacturing-Testing-Other'!V28&gt;0,'Manufacturing-Testing-Other'!R28,"")</f>
        <v/>
      </c>
      <c r="J28" t="str">
        <f ca="1">IF('Manufacturing-Testing-Other'!V28&gt;0,'Manufacturing-Testing-Other'!S28,"")</f>
        <v/>
      </c>
      <c r="K28" t="str">
        <f ca="1">IF('Manufacturing-Testing-Other'!V28&gt;0,'Manufacturing-Testing-Other'!V28,"")</f>
        <v/>
      </c>
      <c r="L28" s="91"/>
    </row>
    <row r="29" spans="1:12" ht="25.2" customHeight="1" x14ac:dyDescent="0.3">
      <c r="A29" s="126" t="str">
        <f t="shared" ca="1" si="4"/>
        <v/>
      </c>
      <c r="B29" s="97" t="str">
        <f t="shared" ca="1" si="0"/>
        <v/>
      </c>
      <c r="C29" s="99" t="str">
        <f t="shared" ca="1" si="1"/>
        <v/>
      </c>
      <c r="D29" s="103" t="str">
        <f t="shared" ca="1" si="2"/>
        <v/>
      </c>
      <c r="E29" s="103" t="str">
        <f t="shared" ca="1" si="3"/>
        <v/>
      </c>
      <c r="F29" s="104"/>
      <c r="G29">
        <f ca="1">IF(H29="",0,(MAX($G$1:G28)+1))</f>
        <v>0</v>
      </c>
      <c r="H29" t="str">
        <f ca="1">IF('Manufacturing-Testing-Other'!V29&gt;0,CONCATENATE('Manufacturing-Testing-Other'!K29,": ",'Manufacturing-Testing-Other'!L29),"")</f>
        <v/>
      </c>
      <c r="I29" s="285" t="str">
        <f ca="1">IF('Manufacturing-Testing-Other'!V29&gt;0,'Manufacturing-Testing-Other'!R29,"")</f>
        <v/>
      </c>
      <c r="J29" t="str">
        <f ca="1">IF('Manufacturing-Testing-Other'!V29&gt;0,'Manufacturing-Testing-Other'!S29,"")</f>
        <v/>
      </c>
      <c r="K29" t="str">
        <f ca="1">IF('Manufacturing-Testing-Other'!V29&gt;0,'Manufacturing-Testing-Other'!V29,"")</f>
        <v/>
      </c>
      <c r="L29" s="91"/>
    </row>
    <row r="30" spans="1:12" ht="25.2" customHeight="1" x14ac:dyDescent="0.3">
      <c r="A30" s="126" t="str">
        <f t="shared" ca="1" si="4"/>
        <v/>
      </c>
      <c r="B30" s="97" t="str">
        <f t="shared" ca="1" si="0"/>
        <v/>
      </c>
      <c r="C30" s="99" t="str">
        <f t="shared" ca="1" si="1"/>
        <v/>
      </c>
      <c r="D30" s="103" t="str">
        <f t="shared" ca="1" si="2"/>
        <v/>
      </c>
      <c r="E30" s="103" t="str">
        <f t="shared" ca="1" si="3"/>
        <v/>
      </c>
      <c r="F30" s="104"/>
      <c r="G30">
        <f ca="1">IF(H30="",0,(MAX($G$1:G29)+1))</f>
        <v>0</v>
      </c>
      <c r="H30" t="str">
        <f ca="1">IF('Manufacturing-Testing-Other'!V30&gt;0,CONCATENATE('Manufacturing-Testing-Other'!K30,": ",'Manufacturing-Testing-Other'!L30),"")</f>
        <v/>
      </c>
      <c r="I30" s="285" t="str">
        <f ca="1">IF('Manufacturing-Testing-Other'!V30&gt;0,'Manufacturing-Testing-Other'!R30,"")</f>
        <v/>
      </c>
      <c r="J30" t="str">
        <f ca="1">IF('Manufacturing-Testing-Other'!V30&gt;0,'Manufacturing-Testing-Other'!S30,"")</f>
        <v/>
      </c>
      <c r="K30" t="str">
        <f ca="1">IF('Manufacturing-Testing-Other'!V30&gt;0,'Manufacturing-Testing-Other'!V30,"")</f>
        <v/>
      </c>
      <c r="L30" s="91"/>
    </row>
    <row r="31" spans="1:12" ht="25.2" customHeight="1" x14ac:dyDescent="0.3">
      <c r="A31" s="126" t="str">
        <f t="shared" ca="1" si="4"/>
        <v/>
      </c>
      <c r="B31" s="97" t="str">
        <f t="shared" ca="1" si="0"/>
        <v/>
      </c>
      <c r="C31" s="99" t="str">
        <f t="shared" ca="1" si="1"/>
        <v/>
      </c>
      <c r="D31" s="103" t="str">
        <f t="shared" ca="1" si="2"/>
        <v/>
      </c>
      <c r="E31" s="103" t="str">
        <f t="shared" ca="1" si="3"/>
        <v/>
      </c>
      <c r="F31" s="104"/>
      <c r="G31">
        <f ca="1">IF(H31="",0,(MAX($G$1:G30)+1))</f>
        <v>0</v>
      </c>
      <c r="H31" t="str">
        <f ca="1">IF('Manufacturing-Testing-Other'!V31&gt;0,CONCATENATE('Manufacturing-Testing-Other'!K31,": ",'Manufacturing-Testing-Other'!L31),"")</f>
        <v/>
      </c>
      <c r="I31" s="285" t="str">
        <f ca="1">IF('Manufacturing-Testing-Other'!V31&gt;0,'Manufacturing-Testing-Other'!R31,"")</f>
        <v/>
      </c>
      <c r="J31" t="str">
        <f ca="1">IF('Manufacturing-Testing-Other'!V31&gt;0,'Manufacturing-Testing-Other'!S31,"")</f>
        <v/>
      </c>
      <c r="K31" t="str">
        <f ca="1">IF('Manufacturing-Testing-Other'!V31&gt;0,'Manufacturing-Testing-Other'!V31,"")</f>
        <v/>
      </c>
      <c r="L31" s="91"/>
    </row>
    <row r="32" spans="1:12" ht="25.2" customHeight="1" x14ac:dyDescent="0.3">
      <c r="A32" s="126" t="str">
        <f t="shared" ca="1" si="4"/>
        <v/>
      </c>
      <c r="B32" s="97" t="str">
        <f t="shared" ca="1" si="0"/>
        <v/>
      </c>
      <c r="C32" s="99" t="str">
        <f t="shared" ca="1" si="1"/>
        <v/>
      </c>
      <c r="D32" s="103" t="str">
        <f t="shared" ca="1" si="2"/>
        <v/>
      </c>
      <c r="E32" s="103" t="str">
        <f t="shared" ca="1" si="3"/>
        <v/>
      </c>
      <c r="F32" s="104"/>
      <c r="G32">
        <f ca="1">IF(H32="",0,(MAX($G$1:G31)+1))</f>
        <v>0</v>
      </c>
      <c r="H32" t="str">
        <f ca="1">IF('Manufacturing-Testing-Other'!V32&gt;0,CONCATENATE('Manufacturing-Testing-Other'!K32,": ",'Manufacturing-Testing-Other'!L32),"")</f>
        <v/>
      </c>
      <c r="I32" s="285" t="str">
        <f ca="1">IF('Manufacturing-Testing-Other'!V32&gt;0,'Manufacturing-Testing-Other'!R32,"")</f>
        <v/>
      </c>
      <c r="J32" t="str">
        <f ca="1">IF('Manufacturing-Testing-Other'!V32&gt;0,'Manufacturing-Testing-Other'!S32,"")</f>
        <v/>
      </c>
      <c r="K32" t="str">
        <f ca="1">IF('Manufacturing-Testing-Other'!V32&gt;0,'Manufacturing-Testing-Other'!V32,"")</f>
        <v/>
      </c>
      <c r="L32" s="91"/>
    </row>
    <row r="33" spans="1:12" ht="25.2" customHeight="1" x14ac:dyDescent="0.3">
      <c r="A33" s="126" t="str">
        <f t="shared" ca="1" si="4"/>
        <v/>
      </c>
      <c r="B33" s="97" t="str">
        <f t="shared" ca="1" si="0"/>
        <v/>
      </c>
      <c r="C33" s="99" t="str">
        <f t="shared" ca="1" si="1"/>
        <v/>
      </c>
      <c r="D33" s="103" t="str">
        <f t="shared" ca="1" si="2"/>
        <v/>
      </c>
      <c r="E33" s="103" t="str">
        <f t="shared" ca="1" si="3"/>
        <v/>
      </c>
      <c r="F33" s="104"/>
      <c r="G33">
        <f ca="1">IF(H33="",0,(MAX($G$1:G32)+1))</f>
        <v>0</v>
      </c>
      <c r="H33" t="str">
        <f ca="1">IF('Manufacturing-Testing-Other'!V33&gt;0,CONCATENATE('Manufacturing-Testing-Other'!K33,": ",'Manufacturing-Testing-Other'!L33),"")</f>
        <v/>
      </c>
      <c r="I33" s="285" t="str">
        <f ca="1">IF('Manufacturing-Testing-Other'!V33&gt;0,'Manufacturing-Testing-Other'!R33,"")</f>
        <v/>
      </c>
      <c r="J33" t="str">
        <f ca="1">IF('Manufacturing-Testing-Other'!V33&gt;0,'Manufacturing-Testing-Other'!S33,"")</f>
        <v/>
      </c>
      <c r="K33" t="str">
        <f ca="1">IF('Manufacturing-Testing-Other'!V33&gt;0,'Manufacturing-Testing-Other'!V33,"")</f>
        <v/>
      </c>
      <c r="L33" s="91"/>
    </row>
    <row r="34" spans="1:12" ht="25.2" customHeight="1" x14ac:dyDescent="0.3">
      <c r="A34" s="126" t="str">
        <f t="shared" ca="1" si="4"/>
        <v/>
      </c>
      <c r="B34" s="97" t="str">
        <f t="shared" ca="1" si="0"/>
        <v/>
      </c>
      <c r="C34" s="99" t="str">
        <f t="shared" ca="1" si="1"/>
        <v/>
      </c>
      <c r="D34" s="103" t="str">
        <f t="shared" ca="1" si="2"/>
        <v/>
      </c>
      <c r="E34" s="103" t="str">
        <f t="shared" ca="1" si="3"/>
        <v/>
      </c>
      <c r="F34" s="104"/>
      <c r="G34">
        <f ca="1">IF(H34="",0,(MAX($G$1:G33)+1))</f>
        <v>0</v>
      </c>
      <c r="H34" t="str">
        <f ca="1">IF('Manufacturing-Testing-Other'!V34&gt;0,CONCATENATE('Manufacturing-Testing-Other'!K34,": ",'Manufacturing-Testing-Other'!L34),"")</f>
        <v/>
      </c>
      <c r="I34" s="285" t="str">
        <f ca="1">IF('Manufacturing-Testing-Other'!V34&gt;0,'Manufacturing-Testing-Other'!R34,"")</f>
        <v/>
      </c>
      <c r="J34" t="str">
        <f ca="1">IF('Manufacturing-Testing-Other'!V34&gt;0,'Manufacturing-Testing-Other'!S34,"")</f>
        <v/>
      </c>
      <c r="K34" t="str">
        <f ca="1">IF('Manufacturing-Testing-Other'!V34&gt;0,'Manufacturing-Testing-Other'!V34,"")</f>
        <v/>
      </c>
      <c r="L34" s="91"/>
    </row>
    <row r="35" spans="1:12" ht="25.2" customHeight="1" x14ac:dyDescent="0.3">
      <c r="A35" s="126" t="str">
        <f t="shared" ca="1" si="4"/>
        <v/>
      </c>
      <c r="B35" s="97" t="str">
        <f t="shared" ca="1" si="0"/>
        <v/>
      </c>
      <c r="C35" s="99" t="str">
        <f t="shared" ca="1" si="1"/>
        <v/>
      </c>
      <c r="D35" s="103" t="str">
        <f t="shared" ca="1" si="2"/>
        <v/>
      </c>
      <c r="E35" s="103" t="str">
        <f t="shared" ca="1" si="3"/>
        <v/>
      </c>
      <c r="F35" s="104"/>
      <c r="G35">
        <f ca="1">IF(H35="",0,(MAX($G$1:G34)+1))</f>
        <v>0</v>
      </c>
      <c r="H35" t="str">
        <f ca="1">IF('Manufacturing-Testing-Other'!V35&gt;0,CONCATENATE('Manufacturing-Testing-Other'!K35,": ",'Manufacturing-Testing-Other'!L35),"")</f>
        <v/>
      </c>
      <c r="I35" s="285" t="str">
        <f ca="1">IF('Manufacturing-Testing-Other'!V35&gt;0,'Manufacturing-Testing-Other'!R35,"")</f>
        <v/>
      </c>
      <c r="J35" t="str">
        <f ca="1">IF('Manufacturing-Testing-Other'!V35&gt;0,'Manufacturing-Testing-Other'!S35,"")</f>
        <v/>
      </c>
      <c r="K35" t="str">
        <f ca="1">IF('Manufacturing-Testing-Other'!V35&gt;0,'Manufacturing-Testing-Other'!V35,"")</f>
        <v/>
      </c>
      <c r="L35" s="91"/>
    </row>
    <row r="36" spans="1:12" ht="25.2" customHeight="1" x14ac:dyDescent="0.3">
      <c r="A36" s="126" t="str">
        <f t="shared" ca="1" si="4"/>
        <v/>
      </c>
      <c r="B36" s="97" t="str">
        <f t="shared" ca="1" si="0"/>
        <v/>
      </c>
      <c r="C36" s="99" t="str">
        <f t="shared" ca="1" si="1"/>
        <v/>
      </c>
      <c r="D36" s="103" t="str">
        <f t="shared" ca="1" si="2"/>
        <v/>
      </c>
      <c r="E36" s="103" t="str">
        <f t="shared" ca="1" si="3"/>
        <v/>
      </c>
      <c r="F36" s="104"/>
      <c r="G36">
        <f ca="1">IF(H36="",0,(MAX($G$1:G35)+1))</f>
        <v>0</v>
      </c>
      <c r="H36" t="str">
        <f ca="1">IF('Manufacturing-Testing-Other'!V36&gt;0,CONCATENATE('Manufacturing-Testing-Other'!K36,": ",'Manufacturing-Testing-Other'!L36),"")</f>
        <v/>
      </c>
      <c r="I36" s="285" t="str">
        <f ca="1">IF('Manufacturing-Testing-Other'!V36&gt;0,'Manufacturing-Testing-Other'!R36,"")</f>
        <v/>
      </c>
      <c r="J36" t="str">
        <f ca="1">IF('Manufacturing-Testing-Other'!V36&gt;0,'Manufacturing-Testing-Other'!S36,"")</f>
        <v/>
      </c>
      <c r="K36" t="str">
        <f ca="1">IF('Manufacturing-Testing-Other'!V36&gt;0,'Manufacturing-Testing-Other'!V36,"")</f>
        <v/>
      </c>
      <c r="L36" s="91"/>
    </row>
    <row r="37" spans="1:12" ht="25.2" customHeight="1" x14ac:dyDescent="0.3">
      <c r="A37" s="126" t="str">
        <f t="shared" ca="1" si="4"/>
        <v/>
      </c>
      <c r="B37" s="97" t="str">
        <f t="shared" ca="1" si="0"/>
        <v/>
      </c>
      <c r="C37" s="99" t="str">
        <f t="shared" ca="1" si="1"/>
        <v/>
      </c>
      <c r="D37" s="103" t="str">
        <f t="shared" ca="1" si="2"/>
        <v/>
      </c>
      <c r="E37" s="103" t="str">
        <f t="shared" ca="1" si="3"/>
        <v/>
      </c>
      <c r="F37" s="104"/>
      <c r="G37">
        <f ca="1">IF(H37="",0,(MAX($G$1:G36)+1))</f>
        <v>0</v>
      </c>
      <c r="H37" t="str">
        <f ca="1">IF('Manufacturing-Testing-Other'!V37&gt;0,CONCATENATE('Manufacturing-Testing-Other'!K37,": ",'Manufacturing-Testing-Other'!L37),"")</f>
        <v/>
      </c>
      <c r="I37" s="285" t="str">
        <f ca="1">IF('Manufacturing-Testing-Other'!V37&gt;0,'Manufacturing-Testing-Other'!R37,"")</f>
        <v/>
      </c>
      <c r="J37" t="str">
        <f ca="1">IF('Manufacturing-Testing-Other'!V37&gt;0,'Manufacturing-Testing-Other'!S37,"")</f>
        <v/>
      </c>
      <c r="K37" t="str">
        <f ca="1">IF('Manufacturing-Testing-Other'!V37&gt;0,'Manufacturing-Testing-Other'!V37,"")</f>
        <v/>
      </c>
      <c r="L37" s="91"/>
    </row>
    <row r="38" spans="1:12" ht="25.2" customHeight="1" x14ac:dyDescent="0.3">
      <c r="A38" s="126" t="str">
        <f t="shared" ca="1" si="4"/>
        <v/>
      </c>
      <c r="B38" s="97" t="str">
        <f t="shared" ca="1" si="0"/>
        <v/>
      </c>
      <c r="C38" s="99" t="str">
        <f t="shared" ca="1" si="1"/>
        <v/>
      </c>
      <c r="D38" s="103" t="str">
        <f t="shared" ca="1" si="2"/>
        <v/>
      </c>
      <c r="E38" s="103" t="str">
        <f t="shared" ca="1" si="3"/>
        <v/>
      </c>
      <c r="F38" s="104"/>
      <c r="G38">
        <f>IF(H38="",0,(MAX($G$1:G37)+1))</f>
        <v>0</v>
      </c>
      <c r="H38" t="str">
        <f>IF('Manufacturing-Testing-Other'!V38&gt;0,CONCATENATE('Manufacturing-Testing-Other'!K38,": ",'Manufacturing-Testing-Other'!L38),"")</f>
        <v/>
      </c>
      <c r="I38" s="285" t="str">
        <f>IF('Manufacturing-Testing-Other'!V38&gt;0,'Manufacturing-Testing-Other'!R38,"")</f>
        <v/>
      </c>
      <c r="J38" t="str">
        <f>IF('Manufacturing-Testing-Other'!V38&gt;0,'Manufacturing-Testing-Other'!S38,"")</f>
        <v/>
      </c>
      <c r="K38" t="str">
        <f>IF('Manufacturing-Testing-Other'!V38&gt;0,'Manufacturing-Testing-Other'!V38,"")</f>
        <v/>
      </c>
      <c r="L38" s="91"/>
    </row>
    <row r="39" spans="1:12" ht="25.2" customHeight="1" x14ac:dyDescent="0.3">
      <c r="A39" s="126" t="str">
        <f t="shared" ca="1" si="4"/>
        <v/>
      </c>
      <c r="B39" s="97" t="str">
        <f t="shared" ca="1" si="0"/>
        <v/>
      </c>
      <c r="C39" s="99" t="str">
        <f t="shared" ca="1" si="1"/>
        <v/>
      </c>
      <c r="D39" s="103" t="str">
        <f t="shared" ca="1" si="2"/>
        <v/>
      </c>
      <c r="E39" s="103" t="str">
        <f t="shared" ca="1" si="3"/>
        <v/>
      </c>
      <c r="F39" s="104"/>
      <c r="G39">
        <f>IF(H39="",0,(MAX($G$1:G38)+1))</f>
        <v>0</v>
      </c>
      <c r="H39" t="str">
        <f>IF('Manufacturing-Testing-Other'!V39&gt;0,CONCATENATE('Manufacturing-Testing-Other'!K39,": ",'Manufacturing-Testing-Other'!L39),"")</f>
        <v/>
      </c>
      <c r="I39" s="285" t="str">
        <f>IF('Manufacturing-Testing-Other'!V39&gt;0,'Manufacturing-Testing-Other'!R39,"")</f>
        <v/>
      </c>
      <c r="J39" t="str">
        <f>IF('Manufacturing-Testing-Other'!V39&gt;0,'Manufacturing-Testing-Other'!S39,"")</f>
        <v/>
      </c>
      <c r="K39" t="str">
        <f>IF('Manufacturing-Testing-Other'!V39&gt;0,'Manufacturing-Testing-Other'!V39,"")</f>
        <v/>
      </c>
      <c r="L39" s="91"/>
    </row>
    <row r="40" spans="1:12" ht="25.2" customHeight="1" x14ac:dyDescent="0.3">
      <c r="A40" s="126" t="str">
        <f t="shared" ca="1" si="4"/>
        <v/>
      </c>
      <c r="B40" s="97" t="str">
        <f t="shared" ca="1" si="0"/>
        <v/>
      </c>
      <c r="C40" s="99" t="str">
        <f t="shared" ca="1" si="1"/>
        <v/>
      </c>
      <c r="D40" s="103" t="str">
        <f t="shared" ca="1" si="2"/>
        <v/>
      </c>
      <c r="E40" s="103" t="str">
        <f t="shared" ca="1" si="3"/>
        <v/>
      </c>
      <c r="F40" s="104"/>
      <c r="G40">
        <f>IF(H40="",0,(MAX($G$1:G39)+1))</f>
        <v>0</v>
      </c>
      <c r="H40" t="str">
        <f>IF('Manufacturing-Testing-Other'!V40&gt;0,CONCATENATE('Manufacturing-Testing-Other'!K40,": ",'Manufacturing-Testing-Other'!L40),"")</f>
        <v/>
      </c>
      <c r="I40" s="285" t="str">
        <f>IF('Manufacturing-Testing-Other'!V40&gt;0,'Manufacturing-Testing-Other'!R40,"")</f>
        <v/>
      </c>
      <c r="J40" t="str">
        <f>IF('Manufacturing-Testing-Other'!V40&gt;0,'Manufacturing-Testing-Other'!S40,"")</f>
        <v/>
      </c>
      <c r="K40" t="str">
        <f>IF('Manufacturing-Testing-Other'!V40&gt;0,'Manufacturing-Testing-Other'!V40,"")</f>
        <v/>
      </c>
      <c r="L40" s="91"/>
    </row>
    <row r="41" spans="1:12" ht="25.2" customHeight="1" x14ac:dyDescent="0.3">
      <c r="A41" s="126" t="str">
        <f t="shared" ca="1" si="4"/>
        <v/>
      </c>
      <c r="B41" s="97" t="str">
        <f t="shared" ca="1" si="0"/>
        <v/>
      </c>
      <c r="C41" s="99" t="str">
        <f t="shared" ca="1" si="1"/>
        <v/>
      </c>
      <c r="D41" s="103" t="str">
        <f t="shared" ca="1" si="2"/>
        <v/>
      </c>
      <c r="E41" s="103" t="str">
        <f t="shared" ca="1" si="3"/>
        <v/>
      </c>
      <c r="F41" s="104"/>
      <c r="G41">
        <f>IF(H41="",0,(MAX($G$1:G40)+1))</f>
        <v>0</v>
      </c>
      <c r="H41" t="str">
        <f>IF('Manufacturing-Testing-Other'!V41&gt;0,CONCATENATE('Manufacturing-Testing-Other'!K41,": ",'Manufacturing-Testing-Other'!L41),"")</f>
        <v/>
      </c>
      <c r="I41" s="285" t="str">
        <f>IF('Manufacturing-Testing-Other'!V41&gt;0,'Manufacturing-Testing-Other'!R41,"")</f>
        <v/>
      </c>
      <c r="J41" t="str">
        <f>IF('Manufacturing-Testing-Other'!V41&gt;0,'Manufacturing-Testing-Other'!S41,"")</f>
        <v/>
      </c>
      <c r="K41" t="str">
        <f>IF('Manufacturing-Testing-Other'!V41&gt;0,'Manufacturing-Testing-Other'!V41,"")</f>
        <v/>
      </c>
      <c r="L41" s="91"/>
    </row>
    <row r="42" spans="1:12" ht="25.2" customHeight="1" x14ac:dyDescent="0.3">
      <c r="A42" s="126" t="str">
        <f t="shared" ca="1" si="4"/>
        <v/>
      </c>
      <c r="B42" s="97" t="str">
        <f t="shared" ca="1" si="0"/>
        <v/>
      </c>
      <c r="C42" s="99" t="str">
        <f t="shared" ca="1" si="1"/>
        <v/>
      </c>
      <c r="D42" s="103" t="str">
        <f t="shared" ca="1" si="2"/>
        <v/>
      </c>
      <c r="E42" s="103" t="str">
        <f t="shared" ca="1" si="3"/>
        <v/>
      </c>
      <c r="F42" s="104"/>
      <c r="G42">
        <f>IF(H42="",0,(MAX($G$1:G41)+1))</f>
        <v>0</v>
      </c>
      <c r="H42" t="str">
        <f>IF('Manufacturing-Testing-Other'!V42&gt;0,CONCATENATE('Manufacturing-Testing-Other'!K42,": ",'Manufacturing-Testing-Other'!L42),"")</f>
        <v/>
      </c>
      <c r="I42" s="285" t="str">
        <f>IF('Manufacturing-Testing-Other'!V42&gt;0,'Manufacturing-Testing-Other'!R42,"")</f>
        <v/>
      </c>
      <c r="J42" t="str">
        <f>IF('Manufacturing-Testing-Other'!V42&gt;0,'Manufacturing-Testing-Other'!S42,"")</f>
        <v/>
      </c>
      <c r="K42" t="str">
        <f>IF('Manufacturing-Testing-Other'!V42&gt;0,'Manufacturing-Testing-Other'!V42,"")</f>
        <v/>
      </c>
      <c r="L42" s="91"/>
    </row>
    <row r="43" spans="1:12" ht="25.2" customHeight="1" x14ac:dyDescent="0.3">
      <c r="A43" s="126" t="str">
        <f t="shared" ca="1" si="4"/>
        <v/>
      </c>
      <c r="B43" s="97" t="str">
        <f t="shared" ca="1" si="0"/>
        <v/>
      </c>
      <c r="C43" s="99" t="str">
        <f t="shared" ca="1" si="1"/>
        <v/>
      </c>
      <c r="D43" s="103" t="str">
        <f t="shared" ca="1" si="2"/>
        <v/>
      </c>
      <c r="E43" s="103" t="str">
        <f t="shared" ca="1" si="3"/>
        <v/>
      </c>
      <c r="F43" s="104"/>
      <c r="G43">
        <f>IF(H43="",0,(MAX($G$1:G42)+1))</f>
        <v>0</v>
      </c>
      <c r="H43" t="str">
        <f>IF('Manufacturing-Testing-Other'!V43&gt;0,CONCATENATE('Manufacturing-Testing-Other'!K43,": ",'Manufacturing-Testing-Other'!L43),"")</f>
        <v/>
      </c>
      <c r="I43" s="285" t="str">
        <f>IF('Manufacturing-Testing-Other'!V43&gt;0,'Manufacturing-Testing-Other'!R43,"")</f>
        <v/>
      </c>
      <c r="J43" t="str">
        <f>IF('Manufacturing-Testing-Other'!V43&gt;0,'Manufacturing-Testing-Other'!S43,"")</f>
        <v/>
      </c>
      <c r="K43" t="str">
        <f>IF('Manufacturing-Testing-Other'!V43&gt;0,'Manufacturing-Testing-Other'!V43,"")</f>
        <v/>
      </c>
      <c r="L43" s="91"/>
    </row>
    <row r="44" spans="1:12" ht="25.2" customHeight="1" x14ac:dyDescent="0.3">
      <c r="A44" s="126" t="str">
        <f t="shared" ca="1" si="4"/>
        <v/>
      </c>
      <c r="B44" s="97" t="str">
        <f t="shared" ca="1" si="0"/>
        <v/>
      </c>
      <c r="C44" s="99" t="str">
        <f t="shared" ca="1" si="1"/>
        <v/>
      </c>
      <c r="D44" s="103" t="str">
        <f t="shared" ca="1" si="2"/>
        <v/>
      </c>
      <c r="E44" s="103" t="str">
        <f t="shared" ca="1" si="3"/>
        <v/>
      </c>
      <c r="F44" s="104"/>
      <c r="G44">
        <f>IF(H44="",0,(MAX($G$1:G43)+1))</f>
        <v>0</v>
      </c>
      <c r="H44" t="str">
        <f>IF('Manufacturing-Testing-Other'!V44&gt;0,CONCATENATE('Manufacturing-Testing-Other'!K44,": ",'Manufacturing-Testing-Other'!L44),"")</f>
        <v/>
      </c>
      <c r="I44" s="285" t="str">
        <f>IF('Manufacturing-Testing-Other'!V44&gt;0,'Manufacturing-Testing-Other'!R44,"")</f>
        <v/>
      </c>
      <c r="J44" t="str">
        <f>IF('Manufacturing-Testing-Other'!V44&gt;0,'Manufacturing-Testing-Other'!S44,"")</f>
        <v/>
      </c>
      <c r="K44" t="str">
        <f>IF('Manufacturing-Testing-Other'!V44&gt;0,'Manufacturing-Testing-Other'!V44,"")</f>
        <v/>
      </c>
      <c r="L44" s="91"/>
    </row>
    <row r="45" spans="1:12" ht="25.2" customHeight="1" x14ac:dyDescent="0.3">
      <c r="A45" s="126" t="str">
        <f t="shared" ca="1" si="4"/>
        <v/>
      </c>
      <c r="B45" s="97" t="str">
        <f t="shared" ca="1" si="0"/>
        <v/>
      </c>
      <c r="C45" s="99" t="str">
        <f t="shared" ca="1" si="1"/>
        <v/>
      </c>
      <c r="D45" s="103" t="str">
        <f t="shared" ca="1" si="2"/>
        <v/>
      </c>
      <c r="E45" s="103" t="str">
        <f t="shared" ca="1" si="3"/>
        <v/>
      </c>
      <c r="F45" s="104"/>
      <c r="G45">
        <f>IF(H45="",0,(MAX($G$1:G44)+1))</f>
        <v>0</v>
      </c>
      <c r="H45" t="str">
        <f>IF('Manufacturing-Testing-Other'!V45&gt;0,CONCATENATE('Manufacturing-Testing-Other'!K45,'Manufacturing-Testing-Other'!L45),"")</f>
        <v/>
      </c>
      <c r="I45" s="285" t="str">
        <f>IF('Manufacturing-Testing-Other'!V45&gt;0,'Manufacturing-Testing-Other'!R45,"")</f>
        <v/>
      </c>
      <c r="J45" t="str">
        <f>IF('Manufacturing-Testing-Other'!V45&gt;0,'Manufacturing-Testing-Other'!S45,"")</f>
        <v/>
      </c>
      <c r="K45" t="str">
        <f>IF('Manufacturing-Testing-Other'!V45&gt;0,'Manufacturing-Testing-Other'!V45,"")</f>
        <v/>
      </c>
      <c r="L45" s="9"/>
    </row>
    <row r="46" spans="1:12" ht="25.2" customHeight="1" x14ac:dyDescent="0.3">
      <c r="A46" s="126" t="str">
        <f t="shared" ca="1" si="4"/>
        <v/>
      </c>
      <c r="B46" s="97" t="str">
        <f t="shared" ca="1" si="0"/>
        <v/>
      </c>
      <c r="C46" s="99" t="str">
        <f t="shared" ca="1" si="1"/>
        <v/>
      </c>
      <c r="D46" s="103" t="str">
        <f t="shared" ca="1" si="2"/>
        <v/>
      </c>
      <c r="E46" s="103" t="str">
        <f t="shared" ca="1" si="3"/>
        <v/>
      </c>
      <c r="F46" s="104"/>
      <c r="G46">
        <f>IF(H46="",0,(MAX($G$1:G45)+1))</f>
        <v>0</v>
      </c>
      <c r="H46" t="str">
        <f>IF('Manufacturing-Testing-Other'!V46&gt;0,CONCATENATE('Manufacturing-Testing-Other'!K46,": ",'Manufacturing-Testing-Other'!L46),"")</f>
        <v/>
      </c>
      <c r="I46" s="285" t="str">
        <f>IF('Manufacturing-Testing-Other'!V46&gt;0,'Manufacturing-Testing-Other'!R46,"")</f>
        <v/>
      </c>
      <c r="J46" t="str">
        <f>IF('Manufacturing-Testing-Other'!V46&gt;0,'Manufacturing-Testing-Other'!S46,"")</f>
        <v/>
      </c>
      <c r="K46" t="str">
        <f>IF('Manufacturing-Testing-Other'!V46&gt;0,'Manufacturing-Testing-Other'!V46,"")</f>
        <v/>
      </c>
      <c r="L46" s="91"/>
    </row>
    <row r="47" spans="1:12" ht="16.05" customHeight="1" x14ac:dyDescent="0.3">
      <c r="A47" s="126" t="str">
        <f t="shared" ca="1" si="4"/>
        <v/>
      </c>
      <c r="B47" s="97" t="str">
        <f t="shared" ca="1" si="0"/>
        <v/>
      </c>
      <c r="C47" s="99" t="str">
        <f t="shared" ca="1" si="1"/>
        <v/>
      </c>
      <c r="D47" s="103" t="str">
        <f t="shared" ca="1" si="2"/>
        <v/>
      </c>
      <c r="E47" s="103" t="str">
        <f t="shared" ca="1" si="3"/>
        <v/>
      </c>
      <c r="F47" s="104"/>
      <c r="G47">
        <f>IF(H47="",0,(MAX($G$1:G46)+1))</f>
        <v>0</v>
      </c>
      <c r="H47" t="str">
        <f>IF('Manufacturing-Testing-Other'!V47&gt;0,CONCATENATE('Manufacturing-Testing-Other'!K47,": ",'Manufacturing-Testing-Other'!L47),"")</f>
        <v/>
      </c>
      <c r="I47" s="285" t="str">
        <f>IF('Manufacturing-Testing-Other'!V47&gt;0,'Manufacturing-Testing-Other'!R47,"")</f>
        <v/>
      </c>
      <c r="J47" t="str">
        <f>IF('Manufacturing-Testing-Other'!V47&gt;0,'Manufacturing-Testing-Other'!S47,"")</f>
        <v/>
      </c>
      <c r="K47" t="str">
        <f>IF('Manufacturing-Testing-Other'!V47&gt;0,'Manufacturing-Testing-Other'!V47,"")</f>
        <v/>
      </c>
      <c r="L47" s="91"/>
    </row>
    <row r="48" spans="1:12" ht="16.05" customHeight="1" x14ac:dyDescent="0.3">
      <c r="A48" s="126" t="str">
        <f t="shared" ca="1" si="4"/>
        <v/>
      </c>
      <c r="B48" s="97" t="str">
        <f t="shared" ca="1" si="0"/>
        <v/>
      </c>
      <c r="C48" s="99" t="str">
        <f t="shared" ca="1" si="1"/>
        <v/>
      </c>
      <c r="D48" s="103" t="str">
        <f t="shared" ca="1" si="2"/>
        <v/>
      </c>
      <c r="E48" s="103" t="str">
        <f t="shared" ca="1" si="3"/>
        <v/>
      </c>
      <c r="F48" s="104"/>
      <c r="G48">
        <f>IF(H48="",0,(MAX($G$1:G47)+1))</f>
        <v>0</v>
      </c>
      <c r="H48" t="str">
        <f>IF('Manufacturing-Testing-Other'!V48&gt;0,CONCATENATE('Manufacturing-Testing-Other'!K48,": ",'Manufacturing-Testing-Other'!L48),"")</f>
        <v/>
      </c>
      <c r="I48" s="285" t="str">
        <f>IF('Manufacturing-Testing-Other'!V48&gt;0,'Manufacturing-Testing-Other'!R48,"")</f>
        <v/>
      </c>
      <c r="J48" t="str">
        <f>IF('Manufacturing-Testing-Other'!V48&gt;0,'Manufacturing-Testing-Other'!S48,"")</f>
        <v/>
      </c>
      <c r="K48" t="str">
        <f>IF('Manufacturing-Testing-Other'!V48&gt;0,'Manufacturing-Testing-Other'!V48,"")</f>
        <v/>
      </c>
      <c r="L48" s="91"/>
    </row>
    <row r="49" spans="1:18" ht="16.05" customHeight="1" x14ac:dyDescent="0.3">
      <c r="A49" s="126" t="str">
        <f t="shared" ca="1" si="4"/>
        <v/>
      </c>
      <c r="B49" s="97" t="str">
        <f t="shared" ca="1" si="0"/>
        <v/>
      </c>
      <c r="C49" s="99" t="str">
        <f t="shared" ca="1" si="1"/>
        <v/>
      </c>
      <c r="D49" s="103" t="str">
        <f t="shared" ca="1" si="2"/>
        <v/>
      </c>
      <c r="E49" s="103" t="str">
        <f t="shared" ca="1" si="3"/>
        <v/>
      </c>
      <c r="F49" s="104"/>
      <c r="G49">
        <f>IF(H49="",0,(MAX($G$1:G48)+1))</f>
        <v>0</v>
      </c>
      <c r="H49" t="str">
        <f>IF('Manufacturing-Testing-Other'!V49&gt;0,CONCATENATE('Manufacturing-Testing-Other'!K49,": ",'Manufacturing-Testing-Other'!L49),"")</f>
        <v/>
      </c>
      <c r="I49" s="285" t="str">
        <f>IF('Manufacturing-Testing-Other'!V49&gt;0,'Manufacturing-Testing-Other'!R49,"")</f>
        <v/>
      </c>
      <c r="J49" t="str">
        <f>IF('Manufacturing-Testing-Other'!V49&gt;0,'Manufacturing-Testing-Other'!S49,"")</f>
        <v/>
      </c>
      <c r="K49" t="str">
        <f>IF('Manufacturing-Testing-Other'!V49&gt;0,'Manufacturing-Testing-Other'!V49,"")</f>
        <v/>
      </c>
      <c r="L49" s="91"/>
    </row>
    <row r="50" spans="1:18" ht="16.05" customHeight="1" x14ac:dyDescent="0.3">
      <c r="A50" s="126" t="str">
        <f t="shared" ca="1" si="4"/>
        <v/>
      </c>
      <c r="B50" s="97" t="str">
        <f t="shared" ca="1" si="0"/>
        <v/>
      </c>
      <c r="C50" s="99" t="str">
        <f t="shared" ca="1" si="1"/>
        <v/>
      </c>
      <c r="D50" s="103" t="str">
        <f t="shared" ca="1" si="2"/>
        <v/>
      </c>
      <c r="E50" s="103" t="str">
        <f t="shared" ca="1" si="3"/>
        <v/>
      </c>
      <c r="F50" s="104"/>
      <c r="G50">
        <f>IF(H50="",0,(MAX($G$1:G49)+1))</f>
        <v>0</v>
      </c>
      <c r="H50" t="str">
        <f>IF('Manufacturing-Testing-Other'!V50&gt;0,CONCATENATE('Manufacturing-Testing-Other'!K50,": ",'Manufacturing-Testing-Other'!L50),"")</f>
        <v/>
      </c>
      <c r="I50" s="285" t="str">
        <f>IF('Manufacturing-Testing-Other'!V50&gt;0,'Manufacturing-Testing-Other'!R50,"")</f>
        <v/>
      </c>
      <c r="J50" t="str">
        <f>IF('Manufacturing-Testing-Other'!V50&gt;0,'Manufacturing-Testing-Other'!S50,"")</f>
        <v/>
      </c>
      <c r="K50" t="str">
        <f>IF('Manufacturing-Testing-Other'!V50&gt;0,'Manufacturing-Testing-Other'!V50,"")</f>
        <v/>
      </c>
      <c r="L50" s="91"/>
    </row>
    <row r="51" spans="1:18" ht="16.05" customHeight="1" x14ac:dyDescent="0.3">
      <c r="A51" s="126" t="str">
        <f t="shared" ca="1" si="4"/>
        <v/>
      </c>
      <c r="B51" s="97" t="str">
        <f t="shared" ca="1" si="0"/>
        <v/>
      </c>
      <c r="C51" s="99" t="str">
        <f t="shared" ca="1" si="1"/>
        <v/>
      </c>
      <c r="D51" s="103" t="str">
        <f t="shared" ca="1" si="2"/>
        <v/>
      </c>
      <c r="E51" s="103" t="str">
        <f t="shared" ca="1" si="3"/>
        <v/>
      </c>
      <c r="F51" s="104"/>
      <c r="G51">
        <f>IF(H51="",0,(MAX($G$1:G50)+1))</f>
        <v>0</v>
      </c>
      <c r="H51" t="str">
        <f>IF('Manufacturing-Testing-Other'!V51&gt;0,CONCATENATE('Manufacturing-Testing-Other'!K51,": ",'Manufacturing-Testing-Other'!L51),"")</f>
        <v/>
      </c>
      <c r="I51" s="285" t="str">
        <f>IF('Manufacturing-Testing-Other'!V51&gt;0,'Manufacturing-Testing-Other'!R51,"")</f>
        <v/>
      </c>
      <c r="J51" t="str">
        <f>IF('Manufacturing-Testing-Other'!V51&gt;0,'Manufacturing-Testing-Other'!S51,"")</f>
        <v/>
      </c>
      <c r="K51" t="str">
        <f>IF('Manufacturing-Testing-Other'!V51&gt;0,'Manufacturing-Testing-Other'!V51,"")</f>
        <v/>
      </c>
      <c r="L51" s="91"/>
      <c r="R51"/>
    </row>
    <row r="52" spans="1:18" ht="16.05" customHeight="1" x14ac:dyDescent="0.3">
      <c r="A52" s="126" t="str">
        <f t="shared" ca="1" si="4"/>
        <v/>
      </c>
      <c r="B52" s="97" t="str">
        <f t="shared" ca="1" si="0"/>
        <v/>
      </c>
      <c r="C52" s="99" t="str">
        <f t="shared" ca="1" si="1"/>
        <v/>
      </c>
      <c r="D52" s="103" t="str">
        <f t="shared" ca="1" si="2"/>
        <v/>
      </c>
      <c r="E52" s="103" t="str">
        <f t="shared" ca="1" si="3"/>
        <v/>
      </c>
      <c r="F52" s="104"/>
      <c r="G52">
        <f>IF(H52="",0,(MAX($G$1:G51)+1))</f>
        <v>0</v>
      </c>
      <c r="H52" t="str">
        <f>IF('Manufacturing-Testing-Other'!V52&gt;0,CONCATENATE('Manufacturing-Testing-Other'!K52,": ",'Manufacturing-Testing-Other'!L52),"")</f>
        <v/>
      </c>
      <c r="I52" s="285" t="str">
        <f>IF('Manufacturing-Testing-Other'!V52&gt;0,'Manufacturing-Testing-Other'!R52,"")</f>
        <v/>
      </c>
      <c r="J52" t="str">
        <f>IF('Manufacturing-Testing-Other'!V52&gt;0,'Manufacturing-Testing-Other'!S52,"")</f>
        <v/>
      </c>
      <c r="K52" t="str">
        <f>IF('Manufacturing-Testing-Other'!V52&gt;0,'Manufacturing-Testing-Other'!V52,"")</f>
        <v/>
      </c>
      <c r="L52" s="91"/>
    </row>
    <row r="53" spans="1:18" ht="16.05" customHeight="1" x14ac:dyDescent="0.3">
      <c r="A53" s="126" t="str">
        <f t="shared" ca="1" si="4"/>
        <v/>
      </c>
      <c r="B53" s="97" t="str">
        <f t="shared" ca="1" si="0"/>
        <v/>
      </c>
      <c r="G53">
        <f>IF(H53="",0,(MAX($G$1:G52)+1))</f>
        <v>0</v>
      </c>
      <c r="H53" t="str">
        <f>IF('Manufacturing-Testing-Other'!V53&gt;0,CONCATENATE('Manufacturing-Testing-Other'!K53,": ",'Manufacturing-Testing-Other'!L53),"")</f>
        <v/>
      </c>
      <c r="I53" s="285" t="str">
        <f>IF('Manufacturing-Testing-Other'!V53&gt;0,'Manufacturing-Testing-Other'!R53,"")</f>
        <v/>
      </c>
      <c r="J53" t="str">
        <f>IF('Manufacturing-Testing-Other'!V53&gt;0,'Manufacturing-Testing-Other'!S53,"")</f>
        <v/>
      </c>
      <c r="K53" t="str">
        <f>IF('Manufacturing-Testing-Other'!V53&gt;0,'Manufacturing-Testing-Other'!V53,"")</f>
        <v/>
      </c>
      <c r="L53" s="91"/>
    </row>
    <row r="54" spans="1:18" ht="16.05" customHeight="1" x14ac:dyDescent="0.3">
      <c r="A54" s="126" t="str">
        <f t="shared" ca="1" si="4"/>
        <v/>
      </c>
      <c r="B54" s="97" t="str">
        <f t="shared" ca="1" si="0"/>
        <v/>
      </c>
      <c r="G54">
        <f>IF(H54="",0,(MAX($G$1:G53)+1))</f>
        <v>0</v>
      </c>
      <c r="H54" t="str">
        <f>IF('Manufacturing-Testing-Other'!V54&gt;0,CONCATENATE('Manufacturing-Testing-Other'!K54,": ",'Manufacturing-Testing-Other'!L54),"")</f>
        <v/>
      </c>
      <c r="I54" s="285" t="str">
        <f>IF('Manufacturing-Testing-Other'!V54&gt;0,'Manufacturing-Testing-Other'!R54,"")</f>
        <v/>
      </c>
      <c r="J54" t="str">
        <f>IF('Manufacturing-Testing-Other'!V54&gt;0,'Manufacturing-Testing-Other'!S54,"")</f>
        <v/>
      </c>
      <c r="K54" t="str">
        <f>IF('Manufacturing-Testing-Other'!V54&gt;0,'Manufacturing-Testing-Other'!V54,"")</f>
        <v/>
      </c>
      <c r="L54" s="91"/>
    </row>
    <row r="55" spans="1:18" x14ac:dyDescent="0.3">
      <c r="A55" s="126" t="str">
        <f t="shared" ca="1" si="4"/>
        <v/>
      </c>
      <c r="B55" s="97" t="str">
        <f t="shared" ca="1" si="0"/>
        <v/>
      </c>
      <c r="G55">
        <f>IF(H55="",0,(MAX($G$1:G54)+1))</f>
        <v>0</v>
      </c>
      <c r="H55" t="str">
        <f>IF('Manufacturing-Testing-Other'!V55&gt;0,CONCATENATE('Manufacturing-Testing-Other'!K55,": ",'Manufacturing-Testing-Other'!L55),"")</f>
        <v/>
      </c>
      <c r="I55" s="285" t="str">
        <f>IF('Manufacturing-Testing-Other'!V55&gt;0,'Manufacturing-Testing-Other'!R55,"")</f>
        <v/>
      </c>
      <c r="J55" t="str">
        <f>IF('Manufacturing-Testing-Other'!V55&gt;0,'Manufacturing-Testing-Other'!S55,"")</f>
        <v/>
      </c>
      <c r="K55" t="str">
        <f>IF('Manufacturing-Testing-Other'!V55&gt;0,'Manufacturing-Testing-Other'!V55,"")</f>
        <v/>
      </c>
      <c r="L55" s="91"/>
    </row>
    <row r="56" spans="1:18" x14ac:dyDescent="0.3">
      <c r="A56" s="126" t="str">
        <f t="shared" ca="1" si="4"/>
        <v/>
      </c>
      <c r="B56" s="97" t="str">
        <f t="shared" ca="1" si="0"/>
        <v/>
      </c>
      <c r="G56">
        <f>IF(H56="",0,(MAX($G$1:G55)+1))</f>
        <v>0</v>
      </c>
      <c r="H56" t="str">
        <f>IF('Manufacturing-Testing-Other'!V56&gt;0,CONCATENATE('Manufacturing-Testing-Other'!K56,": ",'Manufacturing-Testing-Other'!L56),"")</f>
        <v/>
      </c>
      <c r="I56" s="285" t="str">
        <f>IF('Manufacturing-Testing-Other'!V56&gt;0,'Manufacturing-Testing-Other'!R56,"")</f>
        <v/>
      </c>
      <c r="J56" t="str">
        <f>IF('Manufacturing-Testing-Other'!V56&gt;0,'Manufacturing-Testing-Other'!S56,"")</f>
        <v/>
      </c>
      <c r="K56" t="str">
        <f>IF('Manufacturing-Testing-Other'!V56&gt;0,'Manufacturing-Testing-Other'!V56,"")</f>
        <v/>
      </c>
      <c r="L56" s="91"/>
    </row>
    <row r="57" spans="1:18" x14ac:dyDescent="0.3">
      <c r="A57" s="126" t="str">
        <f t="shared" ca="1" si="4"/>
        <v/>
      </c>
      <c r="B57" s="97" t="str">
        <f t="shared" ca="1" si="0"/>
        <v/>
      </c>
      <c r="G57">
        <f>IF(H57="",0,(MAX($G$1:G56)+1))</f>
        <v>0</v>
      </c>
      <c r="H57" t="str">
        <f>IF('Manufacturing-Testing-Other'!V57&gt;0,CONCATENATE('Manufacturing-Testing-Other'!K57,": ",'Manufacturing-Testing-Other'!L57),"")</f>
        <v/>
      </c>
      <c r="I57" s="285" t="str">
        <f>IF('Manufacturing-Testing-Other'!V57&gt;0,'Manufacturing-Testing-Other'!R57,"")</f>
        <v/>
      </c>
      <c r="J57" t="str">
        <f>IF('Manufacturing-Testing-Other'!V57&gt;0,'Manufacturing-Testing-Other'!S57,"")</f>
        <v/>
      </c>
      <c r="K57" t="str">
        <f>IF('Manufacturing-Testing-Other'!V57&gt;0,'Manufacturing-Testing-Other'!V57,"")</f>
        <v/>
      </c>
      <c r="L57" s="91"/>
    </row>
    <row r="58" spans="1:18" x14ac:dyDescent="0.3">
      <c r="A58" s="126" t="str">
        <f t="shared" ca="1" si="4"/>
        <v/>
      </c>
      <c r="B58" s="97" t="str">
        <f t="shared" ca="1" si="0"/>
        <v/>
      </c>
      <c r="G58">
        <f>IF(H58="",0,(MAX($G$1:G57)+1))</f>
        <v>0</v>
      </c>
      <c r="H58" t="str">
        <f>IF('Manufacturing-Testing-Other'!V58&gt;0,CONCATENATE('Manufacturing-Testing-Other'!K58,": ",'Manufacturing-Testing-Other'!L58),"")</f>
        <v/>
      </c>
      <c r="I58" s="285" t="str">
        <f>IF('Manufacturing-Testing-Other'!V58&gt;0,'Manufacturing-Testing-Other'!R58,"")</f>
        <v/>
      </c>
      <c r="J58" t="str">
        <f>IF('Manufacturing-Testing-Other'!V58&gt;0,'Manufacturing-Testing-Other'!S58,"")</f>
        <v/>
      </c>
      <c r="K58" t="str">
        <f>IF('Manufacturing-Testing-Other'!V58&gt;0,'Manufacturing-Testing-Other'!V58,"")</f>
        <v/>
      </c>
      <c r="L58" s="91"/>
    </row>
    <row r="59" spans="1:18" x14ac:dyDescent="0.3">
      <c r="A59" s="126" t="str">
        <f t="shared" ca="1" si="4"/>
        <v/>
      </c>
      <c r="B59" s="97" t="str">
        <f t="shared" ca="1" si="0"/>
        <v/>
      </c>
      <c r="G59">
        <f>IF(H59="",0,(MAX($G$1:G58)+1))</f>
        <v>0</v>
      </c>
      <c r="H59" t="str">
        <f>IF('Manufacturing-Testing-Other'!V59&gt;0,CONCATENATE('Manufacturing-Testing-Other'!K59,": ",'Manufacturing-Testing-Other'!L59),"")</f>
        <v/>
      </c>
      <c r="I59" s="285" t="str">
        <f>IF('Manufacturing-Testing-Other'!V59&gt;0,'Manufacturing-Testing-Other'!R59,"")</f>
        <v/>
      </c>
      <c r="J59" t="str">
        <f>IF('Manufacturing-Testing-Other'!V59&gt;0,'Manufacturing-Testing-Other'!S59,"")</f>
        <v/>
      </c>
      <c r="K59" t="str">
        <f>IF('Manufacturing-Testing-Other'!V59&gt;0,'Manufacturing-Testing-Other'!V59,"")</f>
        <v/>
      </c>
      <c r="L59" s="91"/>
    </row>
    <row r="60" spans="1:18" x14ac:dyDescent="0.3">
      <c r="A60" s="126" t="str">
        <f t="shared" ca="1" si="4"/>
        <v/>
      </c>
      <c r="B60" s="97" t="str">
        <f t="shared" ca="1" si="0"/>
        <v/>
      </c>
      <c r="G60">
        <f>IF(H60="",0,(MAX($G$1:G59)+1))</f>
        <v>0</v>
      </c>
      <c r="H60" t="str">
        <f>IF('Manufacturing-Testing-Other'!V60&gt;0,CONCATENATE('Manufacturing-Testing-Other'!K60,": ",'Manufacturing-Testing-Other'!L60),"")</f>
        <v/>
      </c>
      <c r="I60" s="285" t="str">
        <f>IF('Manufacturing-Testing-Other'!V60&gt;0,'Manufacturing-Testing-Other'!R60,"")</f>
        <v/>
      </c>
      <c r="J60" t="str">
        <f>IF('Manufacturing-Testing-Other'!V60&gt;0,'Manufacturing-Testing-Other'!S60,"")</f>
        <v/>
      </c>
      <c r="K60" t="str">
        <f>IF('Manufacturing-Testing-Other'!V60&gt;0,'Manufacturing-Testing-Other'!V60,"")</f>
        <v/>
      </c>
      <c r="L60" s="91"/>
    </row>
    <row r="61" spans="1:18" x14ac:dyDescent="0.3">
      <c r="A61" s="126" t="str">
        <f t="shared" ca="1" si="4"/>
        <v/>
      </c>
      <c r="B61" s="97" t="str">
        <f t="shared" ca="1" si="0"/>
        <v/>
      </c>
      <c r="G61">
        <f>IF(H61="",0,(MAX($G$1:G60)+1))</f>
        <v>0</v>
      </c>
      <c r="H61" t="str">
        <f>IF($C$1="","",IF('Drug &amp; Supply Prices'!E2="","",CONCATENATE("Drug Purchase: ",'Drug &amp; Supply Prices'!A2)))</f>
        <v/>
      </c>
      <c r="I61" s="88" t="str">
        <f>IF(H61="","",IF('Drug &amp; Supply Prices'!A2="","",'Drug &amp; Supply Prices'!C2))</f>
        <v/>
      </c>
      <c r="J61" t="str">
        <f>IF(H61="","",IF('Drug &amp; Supply Prices'!A2="","""",'Drug &amp; Supply Prices'!D2))</f>
        <v/>
      </c>
      <c r="K61" t="str">
        <f>IF(H61="","",IF('Drug &amp; Supply Prices'!A2="","",'Drug &amp; Supply Prices'!E2))</f>
        <v/>
      </c>
      <c r="L61" s="110"/>
    </row>
    <row r="62" spans="1:18" x14ac:dyDescent="0.3">
      <c r="A62" s="126" t="str">
        <f t="shared" ca="1" si="4"/>
        <v/>
      </c>
      <c r="B62" s="97" t="str">
        <f t="shared" ca="1" si="0"/>
        <v/>
      </c>
      <c r="G62">
        <f>IF(H62="",0,(MAX($G$1:G61)+1))</f>
        <v>0</v>
      </c>
      <c r="H62" t="str">
        <f>IF($C$1="","",IF('Drug &amp; Supply Prices'!E3="","",CONCATENATE("Drug Purchase: ",'Drug &amp; Supply Prices'!A3)))</f>
        <v/>
      </c>
      <c r="I62" s="112" t="str">
        <f>IF(H62="","",IF('Drug &amp; Supply Prices'!A3="","",'Drug &amp; Supply Prices'!C3))</f>
        <v/>
      </c>
      <c r="J62" t="str">
        <f>IF(H62="","",IF('Drug &amp; Supply Prices'!A3="","""",'Drug &amp; Supply Prices'!D3))</f>
        <v/>
      </c>
      <c r="K62" t="str">
        <f>IF(H62="","",IF('Drug &amp; Supply Prices'!A3="","",'Drug &amp; Supply Prices'!E3))</f>
        <v/>
      </c>
      <c r="L62" s="110"/>
    </row>
    <row r="63" spans="1:18" x14ac:dyDescent="0.3">
      <c r="A63" s="126" t="str">
        <f t="shared" ca="1" si="4"/>
        <v/>
      </c>
      <c r="B63" s="97" t="str">
        <f t="shared" ca="1" si="0"/>
        <v/>
      </c>
      <c r="G63">
        <f>IF(H63="",0,(MAX($G$1:G62)+1))</f>
        <v>0</v>
      </c>
      <c r="H63" t="str">
        <f>IF($C$1="","",IF('Drug &amp; Supply Prices'!E4="","",CONCATENATE("Drug Purchase: ",'Drug &amp; Supply Prices'!A4)))</f>
        <v/>
      </c>
      <c r="I63" s="112" t="str">
        <f>IF(H63="","",IF('Drug &amp; Supply Prices'!A4="","",'Drug &amp; Supply Prices'!C4))</f>
        <v/>
      </c>
      <c r="J63" t="str">
        <f>IF(H63="","",IF('Drug &amp; Supply Prices'!A4="","""",'Drug &amp; Supply Prices'!D4))</f>
        <v/>
      </c>
      <c r="K63" t="str">
        <f>IF(H63="","",IF('Drug &amp; Supply Prices'!A4="","",'Drug &amp; Supply Prices'!E4))</f>
        <v/>
      </c>
      <c r="L63" s="110"/>
    </row>
    <row r="64" spans="1:18" x14ac:dyDescent="0.3">
      <c r="A64" s="126" t="str">
        <f t="shared" ca="1" si="4"/>
        <v/>
      </c>
      <c r="B64" s="97" t="str">
        <f t="shared" ca="1" si="0"/>
        <v/>
      </c>
      <c r="G64">
        <f>IF(H64="",0,(MAX($G$1:G63)+1))</f>
        <v>0</v>
      </c>
      <c r="H64" t="str">
        <f>IF($C$1="","",IF('Drug &amp; Supply Prices'!E5="","",CONCATENATE("Drug Purchase: ",'Drug &amp; Supply Prices'!A5)))</f>
        <v/>
      </c>
      <c r="I64" s="112" t="str">
        <f>IF(H64="","",IF('Drug &amp; Supply Prices'!A5="","",'Drug &amp; Supply Prices'!C5))</f>
        <v/>
      </c>
      <c r="J64" t="str">
        <f>IF(H64="","",IF('Drug &amp; Supply Prices'!A5="","""",'Drug &amp; Supply Prices'!D5))</f>
        <v/>
      </c>
      <c r="K64" t="str">
        <f>IF(H64="","",IF('Drug &amp; Supply Prices'!A5="","",'Drug &amp; Supply Prices'!E5))</f>
        <v/>
      </c>
      <c r="L64" s="110"/>
    </row>
    <row r="65" spans="1:12" x14ac:dyDescent="0.3">
      <c r="A65" s="126" t="str">
        <f t="shared" ca="1" si="4"/>
        <v/>
      </c>
      <c r="B65" s="97" t="str">
        <f t="shared" ca="1" si="0"/>
        <v/>
      </c>
      <c r="G65">
        <f>IF(H65="",0,(MAX($G$1:G64)+1))</f>
        <v>0</v>
      </c>
      <c r="H65" t="str">
        <f>IF($C$1="","",IF('Drug &amp; Supply Prices'!E6="","",CONCATENATE("Drug Purchase: ",'Drug &amp; Supply Prices'!A6)))</f>
        <v/>
      </c>
      <c r="I65" s="112" t="str">
        <f>IF(H65="","",IF('Drug &amp; Supply Prices'!A6="","",'Drug &amp; Supply Prices'!C6))</f>
        <v/>
      </c>
      <c r="J65" t="str">
        <f>IF(H65="","",IF('Drug &amp; Supply Prices'!A6="","""",'Drug &amp; Supply Prices'!D6))</f>
        <v/>
      </c>
      <c r="K65" t="str">
        <f>IF(H65="","",IF('Drug &amp; Supply Prices'!A6="","",'Drug &amp; Supply Prices'!E6))</f>
        <v/>
      </c>
      <c r="L65" s="110"/>
    </row>
    <row r="66" spans="1:12" x14ac:dyDescent="0.3">
      <c r="A66" s="126" t="str">
        <f t="shared" ca="1" si="4"/>
        <v/>
      </c>
      <c r="B66" s="97" t="str">
        <f t="shared" ca="1" si="0"/>
        <v/>
      </c>
      <c r="G66">
        <f>IF(H66="",0,(MAX($G$1:G65)+1))</f>
        <v>0</v>
      </c>
      <c r="H66" t="str">
        <f>IF($C$1="","",IF('Drug &amp; Supply Prices'!E7="","",CONCATENATE("Drug Purchase: ",'Drug &amp; Supply Prices'!A7)))</f>
        <v/>
      </c>
      <c r="I66" s="112" t="str">
        <f>IF(H66="","",IF('Drug &amp; Supply Prices'!A7="","",'Drug &amp; Supply Prices'!C7))</f>
        <v/>
      </c>
      <c r="J66" t="str">
        <f>IF(H66="","",IF('Drug &amp; Supply Prices'!A7="","""",'Drug &amp; Supply Prices'!D7))</f>
        <v/>
      </c>
      <c r="K66" t="str">
        <f>IF(H66="","",IF('Drug &amp; Supply Prices'!A7="","",'Drug &amp; Supply Prices'!E7))</f>
        <v/>
      </c>
      <c r="L66" s="110"/>
    </row>
    <row r="67" spans="1:12" x14ac:dyDescent="0.3">
      <c r="A67" s="126" t="str">
        <f t="shared" ca="1" si="4"/>
        <v/>
      </c>
      <c r="B67" s="97" t="str">
        <f t="shared" ca="1" si="0"/>
        <v/>
      </c>
      <c r="G67">
        <f>IF(H67="",0,(MAX($G$1:G66)+1))</f>
        <v>0</v>
      </c>
      <c r="H67" t="str">
        <f>IF($C$1="","",IF('Drug &amp; Supply Prices'!E8="","",CONCATENATE("Drug Purchase: ",'Drug &amp; Supply Prices'!A8)))</f>
        <v/>
      </c>
      <c r="I67" s="112" t="str">
        <f>IF(H67="","",IF('Drug &amp; Supply Prices'!A8="","",'Drug &amp; Supply Prices'!C8))</f>
        <v/>
      </c>
      <c r="J67" t="str">
        <f>IF(H67="","",IF('Drug &amp; Supply Prices'!A8="","""",'Drug &amp; Supply Prices'!D8))</f>
        <v/>
      </c>
      <c r="K67" t="str">
        <f>IF(H67="","",IF('Drug &amp; Supply Prices'!A8="","",'Drug &amp; Supply Prices'!E8))</f>
        <v/>
      </c>
      <c r="L67" s="110"/>
    </row>
    <row r="68" spans="1:12" x14ac:dyDescent="0.3">
      <c r="A68" s="126" t="str">
        <f t="shared" ca="1" si="4"/>
        <v/>
      </c>
      <c r="B68" s="97" t="str">
        <f t="shared" ca="1" si="0"/>
        <v/>
      </c>
      <c r="G68">
        <f>IF(H68="",0,(MAX($G$1:G67)+1))</f>
        <v>0</v>
      </c>
      <c r="H68" t="str">
        <f>IF($C$1="","",IF('Drug &amp; Supply Prices'!E9="","",CONCATENATE("Drug Purchase: ",'Drug &amp; Supply Prices'!A9)))</f>
        <v/>
      </c>
      <c r="I68" s="112" t="str">
        <f>IF(H68="","",IF('Drug &amp; Supply Prices'!A9="","",'Drug &amp; Supply Prices'!C9))</f>
        <v/>
      </c>
      <c r="J68" t="str">
        <f>IF(H68="","",IF('Drug &amp; Supply Prices'!A9="","""",'Drug &amp; Supply Prices'!D9))</f>
        <v/>
      </c>
      <c r="K68" t="str">
        <f>IF(H68="","",IF('Drug &amp; Supply Prices'!A9="","",'Drug &amp; Supply Prices'!E9))</f>
        <v/>
      </c>
      <c r="L68" s="110"/>
    </row>
    <row r="69" spans="1:12" x14ac:dyDescent="0.3">
      <c r="A69" s="126" t="str">
        <f t="shared" ca="1" si="4"/>
        <v/>
      </c>
      <c r="B69" s="97" t="str">
        <f t="shared" ca="1" si="0"/>
        <v/>
      </c>
      <c r="G69">
        <f>IF(H69="",0,(MAX($G$1:G68)+1))</f>
        <v>0</v>
      </c>
      <c r="H69" t="str">
        <f>IF($C$1="","",IF('Drug &amp; Supply Prices'!E10="","",CONCATENATE("Drug Purchase: ",'Drug &amp; Supply Prices'!A10)))</f>
        <v/>
      </c>
      <c r="I69" s="112" t="str">
        <f>IF(H69="","",IF('Drug &amp; Supply Prices'!A10="","",'Drug &amp; Supply Prices'!C10))</f>
        <v/>
      </c>
      <c r="J69" t="str">
        <f>IF(H69="","",IF('Drug &amp; Supply Prices'!A10="","""",'Drug &amp; Supply Prices'!D10))</f>
        <v/>
      </c>
      <c r="K69" t="str">
        <f>IF(H69="","",IF('Drug &amp; Supply Prices'!A10="","",'Drug &amp; Supply Prices'!E10))</f>
        <v/>
      </c>
      <c r="L69" s="110"/>
    </row>
    <row r="70" spans="1:12" x14ac:dyDescent="0.3">
      <c r="A70" s="126" t="str">
        <f t="shared" ca="1" si="4"/>
        <v/>
      </c>
      <c r="B70" s="97" t="str">
        <f t="shared" ca="1" si="0"/>
        <v/>
      </c>
      <c r="G70">
        <f>IF(H70="",0,(MAX($G$1:G69)+1))</f>
        <v>0</v>
      </c>
      <c r="H70" t="str">
        <f>IF($C$1="","",IF('Drug &amp; Supply Prices'!E12="","",CONCATENATE("Supply Purchase: ",'Drug &amp; Supply Prices'!A12)))</f>
        <v/>
      </c>
      <c r="I70" s="285" t="str">
        <f>IF(H70="","",IF('Drug &amp; Supply Prices'!A12="","",'Drug &amp; Supply Prices'!C12))</f>
        <v/>
      </c>
      <c r="J70" t="str">
        <f>IF(H70="","",IF('Drug &amp; Supply Prices'!A12="","""",'Drug &amp; Supply Prices'!D12))</f>
        <v/>
      </c>
      <c r="K70" t="str">
        <f>IF(H70="","",IF('Drug &amp; Supply Prices'!A12="","",'Drug &amp; Supply Prices'!E12))</f>
        <v/>
      </c>
      <c r="L70" s="350"/>
    </row>
    <row r="71" spans="1:12" x14ac:dyDescent="0.3">
      <c r="A71" s="126" t="str">
        <f t="shared" ca="1" si="4"/>
        <v/>
      </c>
      <c r="B71" s="97" t="str">
        <f t="shared" ref="B71:B100" ca="1" si="5">IF(A71="","",VLOOKUP(A71,$G$1:$K$100,2,FALSE))</f>
        <v/>
      </c>
      <c r="G71">
        <f>IF(H71="",0,(MAX($G$1:G70)+1))</f>
        <v>0</v>
      </c>
      <c r="H71" t="str">
        <f>IF($C$1="","",IF('Drug &amp; Supply Prices'!E13="","",CONCATENATE("Supply Purchase: ",'Drug &amp; Supply Prices'!A13)))</f>
        <v/>
      </c>
      <c r="I71" s="285" t="str">
        <f>IF(H71="","",IF('Drug &amp; Supply Prices'!A13="","",'Drug &amp; Supply Prices'!C13))</f>
        <v/>
      </c>
      <c r="J71" t="str">
        <f>IF(H71="","",IF('Drug &amp; Supply Prices'!A13="","""",'Drug &amp; Supply Prices'!D13))</f>
        <v/>
      </c>
      <c r="K71" t="str">
        <f>IF(H71="","",IF('Drug &amp; Supply Prices'!A13="","",'Drug &amp; Supply Prices'!E13))</f>
        <v/>
      </c>
      <c r="L71" s="350"/>
    </row>
    <row r="72" spans="1:12" x14ac:dyDescent="0.3">
      <c r="A72" s="126" t="str">
        <f t="shared" ref="A72:A100" ca="1" si="6">IF(A71="","",IF($M$1&gt;=1+A71,A71+1,""))</f>
        <v/>
      </c>
      <c r="B72" s="97" t="str">
        <f t="shared" ca="1" si="5"/>
        <v/>
      </c>
      <c r="G72">
        <f>IF(H72="",0,(MAX($G$1:G71)+1))</f>
        <v>0</v>
      </c>
      <c r="H72" t="str">
        <f>IF($C$1="","",IF('Drug &amp; Supply Prices'!E14="","",CONCATENATE("Supply Purchase: ",'Drug &amp; Supply Prices'!A14)))</f>
        <v/>
      </c>
      <c r="I72" s="285" t="str">
        <f>IF(H72="","",IF('Drug &amp; Supply Prices'!A14="","",'Drug &amp; Supply Prices'!C14))</f>
        <v/>
      </c>
      <c r="J72" t="str">
        <f>IF(H72="","",IF('Drug &amp; Supply Prices'!A14="","""",'Drug &amp; Supply Prices'!D14))</f>
        <v/>
      </c>
      <c r="K72" t="str">
        <f>IF(H72="","",IF('Drug &amp; Supply Prices'!A14="","",'Drug &amp; Supply Prices'!E14))</f>
        <v/>
      </c>
      <c r="L72" s="350"/>
    </row>
    <row r="73" spans="1:12" x14ac:dyDescent="0.3">
      <c r="A73" s="126" t="str">
        <f t="shared" ca="1" si="6"/>
        <v/>
      </c>
      <c r="B73" s="97" t="str">
        <f t="shared" ca="1" si="5"/>
        <v/>
      </c>
      <c r="G73">
        <f>IF(H73="",0,(MAX($G$1:G72)+1))</f>
        <v>0</v>
      </c>
      <c r="H73" t="str">
        <f>IF($C$1="","",IF('Drug &amp; Supply Prices'!E15="","",CONCATENATE("Supply Purchase: ",'Drug &amp; Supply Prices'!A15)))</f>
        <v/>
      </c>
      <c r="I73" s="285" t="str">
        <f>IF(H73="","",IF('Drug &amp; Supply Prices'!A15="","",'Drug &amp; Supply Prices'!C15))</f>
        <v/>
      </c>
      <c r="J73" t="str">
        <f>IF(H73="","",IF('Drug &amp; Supply Prices'!A15="","""",'Drug &amp; Supply Prices'!D15))</f>
        <v/>
      </c>
      <c r="K73" t="str">
        <f>IF(H73="","",IF('Drug &amp; Supply Prices'!A15="","",'Drug &amp; Supply Prices'!E15))</f>
        <v/>
      </c>
      <c r="L73" s="350"/>
    </row>
    <row r="74" spans="1:12" x14ac:dyDescent="0.3">
      <c r="A74" s="126" t="str">
        <f t="shared" ca="1" si="6"/>
        <v/>
      </c>
      <c r="B74" s="97" t="str">
        <f t="shared" ca="1" si="5"/>
        <v/>
      </c>
      <c r="G74">
        <f>IF(H74="",0,(MAX($G$1:G73)+1))</f>
        <v>0</v>
      </c>
      <c r="H74" t="str">
        <f>IF($C$1="","",IF('Drug &amp; Supply Prices'!E16="","",CONCATENATE("Supply Purchase: ",'Drug &amp; Supply Prices'!A16)))</f>
        <v/>
      </c>
      <c r="I74" s="285" t="str">
        <f>IF(H74="","",IF('Drug &amp; Supply Prices'!A16="","",'Drug &amp; Supply Prices'!C16))</f>
        <v/>
      </c>
      <c r="J74" t="str">
        <f>IF(H74="","",IF('Drug &amp; Supply Prices'!A16="","""",'Drug &amp; Supply Prices'!D16))</f>
        <v/>
      </c>
      <c r="K74" t="str">
        <f>IF(H74="","",IF('Drug &amp; Supply Prices'!A16="","",'Drug &amp; Supply Prices'!E16))</f>
        <v/>
      </c>
      <c r="L74" s="350"/>
    </row>
    <row r="75" spans="1:12" x14ac:dyDescent="0.3">
      <c r="A75" s="126" t="str">
        <f t="shared" ca="1" si="6"/>
        <v/>
      </c>
      <c r="B75" s="97" t="str">
        <f t="shared" ca="1" si="5"/>
        <v/>
      </c>
      <c r="G75">
        <f>IF(H75="",0,(MAX($G$1:G74)+1))</f>
        <v>0</v>
      </c>
      <c r="H75" t="str">
        <f>IF($C$1="","",IF('Drug &amp; Supply Prices'!E17="","",CONCATENATE("Supply Purchase: ",'Drug &amp; Supply Prices'!A17)))</f>
        <v/>
      </c>
      <c r="I75" s="285" t="str">
        <f>IF(H75="","",IF('Drug &amp; Supply Prices'!A17="","",'Drug &amp; Supply Prices'!C17))</f>
        <v/>
      </c>
      <c r="J75" t="str">
        <f>IF(H75="","",IF('Drug &amp; Supply Prices'!A17="","""",'Drug &amp; Supply Prices'!D17))</f>
        <v/>
      </c>
      <c r="K75" t="str">
        <f>IF(H75="","",IF('Drug &amp; Supply Prices'!A17="","",'Drug &amp; Supply Prices'!E17))</f>
        <v/>
      </c>
      <c r="L75" s="350"/>
    </row>
    <row r="76" spans="1:12" x14ac:dyDescent="0.3">
      <c r="A76" s="126" t="str">
        <f t="shared" ca="1" si="6"/>
        <v/>
      </c>
      <c r="B76" s="97" t="str">
        <f t="shared" ca="1" si="5"/>
        <v/>
      </c>
      <c r="G76">
        <f>IF(H76="",0,(MAX($G$1:G75)+1))</f>
        <v>0</v>
      </c>
      <c r="H76" t="str">
        <f>IF($C$1="","",IF('Drug &amp; Supply Prices'!E18="","",CONCATENATE("Supply Purchase: ",'Drug &amp; Supply Prices'!A18)))</f>
        <v/>
      </c>
      <c r="I76" s="285" t="str">
        <f>IF(H76="","",IF('Drug &amp; Supply Prices'!A18="","",'Drug &amp; Supply Prices'!C18))</f>
        <v/>
      </c>
      <c r="J76" t="str">
        <f>IF(H76="","",IF('Drug &amp; Supply Prices'!A18="","""",'Drug &amp; Supply Prices'!D18))</f>
        <v/>
      </c>
      <c r="K76" t="str">
        <f>IF(H76="","",IF('Drug &amp; Supply Prices'!A18="","",'Drug &amp; Supply Prices'!E18))</f>
        <v/>
      </c>
      <c r="L76" s="350"/>
    </row>
    <row r="77" spans="1:12" x14ac:dyDescent="0.3">
      <c r="A77" s="126" t="str">
        <f t="shared" ca="1" si="6"/>
        <v/>
      </c>
      <c r="B77" s="97" t="str">
        <f t="shared" ca="1" si="5"/>
        <v/>
      </c>
      <c r="G77">
        <f>IF(H77="",0,(MAX($G$1:G76)+1))</f>
        <v>0</v>
      </c>
      <c r="H77" t="str">
        <f>IF($C$1="","",IF('Drug &amp; Supply Prices'!E19="","",CONCATENATE("Supply Purchase: ",'Drug &amp; Supply Prices'!A19)))</f>
        <v/>
      </c>
      <c r="I77" s="285" t="str">
        <f>IF(H77="","",IF('Drug &amp; Supply Prices'!A19="","",'Drug &amp; Supply Prices'!C19))</f>
        <v/>
      </c>
      <c r="J77" t="str">
        <f>IF(H77="","",IF('Drug &amp; Supply Prices'!A19="","""",'Drug &amp; Supply Prices'!D19))</f>
        <v/>
      </c>
      <c r="K77" t="str">
        <f>IF(H77="","",IF('Drug &amp; Supply Prices'!A19="","",'Drug &amp; Supply Prices'!E19))</f>
        <v/>
      </c>
      <c r="L77" s="350"/>
    </row>
    <row r="78" spans="1:12" x14ac:dyDescent="0.3">
      <c r="A78" s="126" t="str">
        <f t="shared" ca="1" si="6"/>
        <v/>
      </c>
      <c r="B78" s="97" t="str">
        <f t="shared" ca="1" si="5"/>
        <v/>
      </c>
      <c r="G78">
        <f>IF(H78="",0,(MAX($G$1:G77)+1))</f>
        <v>0</v>
      </c>
      <c r="H78" t="str">
        <f>IF($C$1="","",IF('Drug &amp; Supply Prices'!E20="","",CONCATENATE("Supply Purchase: ",'Drug &amp; Supply Prices'!A20)))</f>
        <v/>
      </c>
      <c r="I78" s="285" t="str">
        <f>IF(H78="","",IF('Drug &amp; Supply Prices'!A20="","",'Drug &amp; Supply Prices'!C20))</f>
        <v/>
      </c>
      <c r="J78" t="str">
        <f>IF(H78="","",IF('Drug &amp; Supply Prices'!A20="","""",'Drug &amp; Supply Prices'!D20))</f>
        <v/>
      </c>
      <c r="K78" t="str">
        <f>IF(H78="","",IF('Drug &amp; Supply Prices'!A20="","",'Drug &amp; Supply Prices'!E20))</f>
        <v/>
      </c>
      <c r="L78" s="350"/>
    </row>
    <row r="79" spans="1:12" x14ac:dyDescent="0.3">
      <c r="A79" s="126" t="str">
        <f t="shared" ca="1" si="6"/>
        <v/>
      </c>
      <c r="B79" s="97" t="str">
        <f t="shared" ca="1" si="5"/>
        <v/>
      </c>
      <c r="G79">
        <f>IF(H79="",0,(MAX($G$1:G78)+1))</f>
        <v>0</v>
      </c>
      <c r="H79" t="str">
        <f>IF($C$1="","",IF('Drug &amp; Supply Prices'!E22="","",CONCATENATE('Drug &amp; Supply Prices'!A22,":")))</f>
        <v/>
      </c>
      <c r="I79" s="285" t="str">
        <f>IF(H79="","",IF('Drug &amp; Supply Prices'!A22="","",'Drug &amp; Supply Prices'!C22))</f>
        <v/>
      </c>
      <c r="J79" t="str">
        <f>IF(H79="","",IF('Drug &amp; Supply Prices'!A22="","""",'Drug &amp; Supply Prices'!D22))</f>
        <v/>
      </c>
      <c r="K79" t="str">
        <f>IF(H79="","",IF('Drug &amp; Supply Prices'!A22="","",'Drug &amp; Supply Prices'!E22))</f>
        <v/>
      </c>
      <c r="L79" s="322"/>
    </row>
    <row r="80" spans="1:12" x14ac:dyDescent="0.3">
      <c r="A80" s="126" t="str">
        <f t="shared" ca="1" si="6"/>
        <v/>
      </c>
      <c r="B80" s="97" t="str">
        <f t="shared" ca="1" si="5"/>
        <v/>
      </c>
      <c r="G80">
        <f>IF(H80="",0,(MAX($G$1:G79)+1))</f>
        <v>0</v>
      </c>
      <c r="H80" t="str">
        <f>IF($C$1="","",IF('Drug &amp; Supply Prices'!E23="","",CONCATENATE('Drug &amp; Supply Prices'!A23,":")))</f>
        <v/>
      </c>
      <c r="I80" s="285" t="str">
        <f>IF(H80="","",IF('Drug &amp; Supply Prices'!A23="","",'Drug &amp; Supply Prices'!C23))</f>
        <v/>
      </c>
      <c r="J80" t="str">
        <f>IF(H80="","",IF('Drug &amp; Supply Prices'!A23="","""",'Drug &amp; Supply Prices'!D23))</f>
        <v/>
      </c>
      <c r="K80" t="str">
        <f>IF(H80="","",IF('Drug &amp; Supply Prices'!A23="","",'Drug &amp; Supply Prices'!E23))</f>
        <v/>
      </c>
      <c r="L80" s="322"/>
    </row>
    <row r="81" spans="1:12" x14ac:dyDescent="0.3">
      <c r="A81" s="126" t="str">
        <f t="shared" ca="1" si="6"/>
        <v/>
      </c>
      <c r="B81" s="97" t="str">
        <f t="shared" ca="1" si="5"/>
        <v/>
      </c>
      <c r="G81">
        <f>IF(H81="",0,(MAX($G$1:G80)+1))</f>
        <v>0</v>
      </c>
      <c r="H81" t="str">
        <f>IF($C$1="","",IF('Drug &amp; Supply Prices'!E24="","",CONCATENATE('Drug &amp; Supply Prices'!A24,":")))</f>
        <v/>
      </c>
      <c r="I81" s="285" t="str">
        <f>IF(H81="","",IF('Drug &amp; Supply Prices'!A24="","",'Drug &amp; Supply Prices'!C24))</f>
        <v/>
      </c>
      <c r="J81" t="str">
        <f>IF(H81="","",IF('Drug &amp; Supply Prices'!A24="","""",'Drug &amp; Supply Prices'!D24))</f>
        <v/>
      </c>
      <c r="K81" t="str">
        <f>IF(H81="","",IF('Drug &amp; Supply Prices'!A24="","",'Drug &amp; Supply Prices'!E24))</f>
        <v/>
      </c>
      <c r="L81" s="322"/>
    </row>
    <row r="82" spans="1:12" x14ac:dyDescent="0.3">
      <c r="A82" s="126" t="str">
        <f t="shared" ca="1" si="6"/>
        <v/>
      </c>
      <c r="B82" s="97" t="str">
        <f t="shared" ca="1" si="5"/>
        <v/>
      </c>
      <c r="G82">
        <f>IF(H82="",0,(MAX($G$1:G81)+1))</f>
        <v>0</v>
      </c>
      <c r="H82" t="str">
        <f>IF($C$1="","",IF('Drug &amp; Supply Prices'!E25="","",CONCATENATE('Drug &amp; Supply Prices'!A25,":")))</f>
        <v/>
      </c>
      <c r="I82" s="285" t="str">
        <f>IF(H82="","",IF('Drug &amp; Supply Prices'!A25="","",'Drug &amp; Supply Prices'!C25))</f>
        <v/>
      </c>
      <c r="J82" t="str">
        <f>IF(H82="","",IF('Drug &amp; Supply Prices'!A25="","""",'Drug &amp; Supply Prices'!D25))</f>
        <v/>
      </c>
      <c r="K82" t="str">
        <f>IF(H82="","",IF('Drug &amp; Supply Prices'!A25="","",'Drug &amp; Supply Prices'!E25))</f>
        <v/>
      </c>
      <c r="L82" s="322"/>
    </row>
    <row r="83" spans="1:12" x14ac:dyDescent="0.3">
      <c r="A83" s="126" t="str">
        <f t="shared" ca="1" si="6"/>
        <v/>
      </c>
      <c r="B83" s="97" t="str">
        <f t="shared" ca="1" si="5"/>
        <v/>
      </c>
      <c r="G83">
        <f>IF(H83="",0,(MAX($G$1:G82)+1))</f>
        <v>0</v>
      </c>
      <c r="H83" t="str">
        <f>IF($C$1="","",IF('Drug &amp; Supply Prices'!E26="","",CONCATENATE('Drug &amp; Supply Prices'!A26,":")))</f>
        <v/>
      </c>
      <c r="I83" s="285" t="str">
        <f>IF(H83="","",IF('Drug &amp; Supply Prices'!A26="","",'Drug &amp; Supply Prices'!C26))</f>
        <v/>
      </c>
      <c r="J83" t="str">
        <f>IF(H83="","",IF('Drug &amp; Supply Prices'!A26="","""",'Drug &amp; Supply Prices'!D26))</f>
        <v/>
      </c>
      <c r="K83" t="str">
        <f>IF(H83="","",IF('Drug &amp; Supply Prices'!A26="","",'Drug &amp; Supply Prices'!E26))</f>
        <v/>
      </c>
      <c r="L83" s="322"/>
    </row>
    <row r="84" spans="1:12" x14ac:dyDescent="0.3">
      <c r="A84" s="126" t="str">
        <f t="shared" ca="1" si="6"/>
        <v/>
      </c>
      <c r="B84" s="97" t="str">
        <f t="shared" ca="1" si="5"/>
        <v/>
      </c>
      <c r="G84">
        <f>IF(H84="",0,(MAX($G$1:G83)+1))</f>
        <v>0</v>
      </c>
      <c r="H84" t="str">
        <f>IF($C$1="","",IF('Drug &amp; Supply Prices'!E27="","",CONCATENATE('Drug &amp; Supply Prices'!A27,":")))</f>
        <v/>
      </c>
      <c r="I84" s="285" t="str">
        <f>IF(H84="","",IF('Drug &amp; Supply Prices'!A27="","",'Drug &amp; Supply Prices'!C27))</f>
        <v/>
      </c>
      <c r="J84" t="str">
        <f>IF(H84="","",IF('Drug &amp; Supply Prices'!A27="","""",'Drug &amp; Supply Prices'!D27))</f>
        <v/>
      </c>
      <c r="K84" t="str">
        <f>IF(H84="","",IF('Drug &amp; Supply Prices'!A27="","",'Drug &amp; Supply Prices'!E27))</f>
        <v/>
      </c>
      <c r="L84" s="322"/>
    </row>
    <row r="85" spans="1:12" x14ac:dyDescent="0.3">
      <c r="A85" s="126" t="str">
        <f t="shared" ca="1" si="6"/>
        <v/>
      </c>
      <c r="B85" s="97" t="str">
        <f t="shared" ca="1" si="5"/>
        <v/>
      </c>
      <c r="G85">
        <f>IF(H85="",0,(MAX($G$1:G84)+1))</f>
        <v>0</v>
      </c>
      <c r="H85" t="str">
        <f>IF($C$1="","",IF('Drug &amp; Supply Prices'!E28="","",CONCATENATE('Drug &amp; Supply Prices'!A28,":")))</f>
        <v/>
      </c>
      <c r="I85" s="285" t="str">
        <f>IF(H85="","",IF('Drug &amp; Supply Prices'!A28="","",'Drug &amp; Supply Prices'!C28))</f>
        <v/>
      </c>
      <c r="J85" t="str">
        <f>IF(H85="","",IF('Drug &amp; Supply Prices'!A28="","""",'Drug &amp; Supply Prices'!D28))</f>
        <v/>
      </c>
      <c r="K85" t="str">
        <f>IF(H85="","",IF('Drug &amp; Supply Prices'!A28="","",'Drug &amp; Supply Prices'!E28))</f>
        <v/>
      </c>
      <c r="L85" s="322"/>
    </row>
    <row r="86" spans="1:12" x14ac:dyDescent="0.3">
      <c r="A86" s="126" t="str">
        <f t="shared" ca="1" si="6"/>
        <v/>
      </c>
      <c r="B86" s="97" t="str">
        <f t="shared" ca="1" si="5"/>
        <v/>
      </c>
      <c r="G86">
        <f>IF(H86="",0,(MAX($G$1:G85)+1))</f>
        <v>0</v>
      </c>
      <c r="H86" t="str">
        <f>IF($C$1="","",IF('Drug &amp; Supply Prices'!E29="","",CONCATENATE('Drug &amp; Supply Prices'!A29,":")))</f>
        <v/>
      </c>
      <c r="I86" s="285" t="str">
        <f>IF(H86="","",IF('Drug &amp; Supply Prices'!A29="","",'Drug &amp; Supply Prices'!C29))</f>
        <v/>
      </c>
      <c r="J86" t="str">
        <f>IF(H86="","",IF('Drug &amp; Supply Prices'!A29="","""",'Drug &amp; Supply Prices'!D29))</f>
        <v/>
      </c>
      <c r="K86" t="str">
        <f>IF(H86="","",IF('Drug &amp; Supply Prices'!A29="","",'Drug &amp; Supply Prices'!E29))</f>
        <v/>
      </c>
      <c r="L86" s="322"/>
    </row>
    <row r="87" spans="1:12" x14ac:dyDescent="0.3">
      <c r="A87" s="126" t="str">
        <f t="shared" ca="1" si="6"/>
        <v/>
      </c>
      <c r="B87" s="97" t="str">
        <f t="shared" ca="1" si="5"/>
        <v/>
      </c>
      <c r="G87">
        <f>IF(H87="",0,(MAX($G$1:G86)+1))</f>
        <v>0</v>
      </c>
      <c r="H87" t="str">
        <f>IF($C$1="","",IF('Drug &amp; Supply Prices'!E30="","",CONCATENATE('Drug &amp; Supply Prices'!A30,":")))</f>
        <v/>
      </c>
      <c r="I87" s="285" t="str">
        <f>IF(H87="","",IF('Drug &amp; Supply Prices'!A30="","",'Drug &amp; Supply Prices'!C30))</f>
        <v/>
      </c>
      <c r="J87" t="str">
        <f>IF(H87="","",IF('Drug &amp; Supply Prices'!A30="","""",'Drug &amp; Supply Prices'!D30))</f>
        <v/>
      </c>
      <c r="K87" t="str">
        <f>IF(H87="","",IF('Drug &amp; Supply Prices'!A30="","",'Drug &amp; Supply Prices'!E30))</f>
        <v/>
      </c>
      <c r="L87" s="322"/>
    </row>
    <row r="88" spans="1:12" x14ac:dyDescent="0.3">
      <c r="A88" s="126" t="str">
        <f t="shared" ca="1" si="6"/>
        <v/>
      </c>
      <c r="B88" s="97" t="str">
        <f t="shared" ca="1" si="5"/>
        <v/>
      </c>
    </row>
    <row r="89" spans="1:12" x14ac:dyDescent="0.3">
      <c r="A89" s="126" t="str">
        <f t="shared" ca="1" si="6"/>
        <v/>
      </c>
      <c r="B89" s="97" t="str">
        <f t="shared" ca="1" si="5"/>
        <v/>
      </c>
    </row>
    <row r="90" spans="1:12" x14ac:dyDescent="0.3">
      <c r="A90" s="126" t="str">
        <f t="shared" ca="1" si="6"/>
        <v/>
      </c>
      <c r="B90" s="97" t="str">
        <f t="shared" ca="1" si="5"/>
        <v/>
      </c>
    </row>
    <row r="91" spans="1:12" x14ac:dyDescent="0.3">
      <c r="A91" s="126" t="str">
        <f t="shared" ca="1" si="6"/>
        <v/>
      </c>
      <c r="B91" s="97" t="str">
        <f t="shared" ca="1" si="5"/>
        <v/>
      </c>
    </row>
    <row r="92" spans="1:12" x14ac:dyDescent="0.3">
      <c r="A92" s="126" t="str">
        <f t="shared" ca="1" si="6"/>
        <v/>
      </c>
      <c r="B92" s="97" t="str">
        <f t="shared" ca="1" si="5"/>
        <v/>
      </c>
    </row>
    <row r="93" spans="1:12" x14ac:dyDescent="0.3">
      <c r="A93" s="126" t="str">
        <f t="shared" ca="1" si="6"/>
        <v/>
      </c>
      <c r="B93" s="97" t="str">
        <f t="shared" ca="1" si="5"/>
        <v/>
      </c>
    </row>
    <row r="94" spans="1:12" x14ac:dyDescent="0.3">
      <c r="A94" s="126" t="str">
        <f t="shared" ca="1" si="6"/>
        <v/>
      </c>
      <c r="B94" s="97" t="str">
        <f t="shared" ca="1" si="5"/>
        <v/>
      </c>
    </row>
    <row r="95" spans="1:12" x14ac:dyDescent="0.3">
      <c r="A95" s="126" t="str">
        <f t="shared" ca="1" si="6"/>
        <v/>
      </c>
      <c r="B95" s="97" t="str">
        <f t="shared" ca="1" si="5"/>
        <v/>
      </c>
    </row>
    <row r="96" spans="1:12" x14ac:dyDescent="0.3">
      <c r="A96" s="126" t="str">
        <f t="shared" ca="1" si="6"/>
        <v/>
      </c>
      <c r="B96" s="97" t="str">
        <f t="shared" ca="1" si="5"/>
        <v/>
      </c>
    </row>
    <row r="97" spans="1:2" x14ac:dyDescent="0.3">
      <c r="A97" s="126" t="str">
        <f t="shared" ca="1" si="6"/>
        <v/>
      </c>
      <c r="B97" s="97" t="str">
        <f t="shared" ca="1" si="5"/>
        <v/>
      </c>
    </row>
    <row r="98" spans="1:2" x14ac:dyDescent="0.3">
      <c r="A98" s="126" t="str">
        <f t="shared" ca="1" si="6"/>
        <v/>
      </c>
      <c r="B98" s="97" t="str">
        <f t="shared" ca="1" si="5"/>
        <v/>
      </c>
    </row>
    <row r="99" spans="1:2" x14ac:dyDescent="0.3">
      <c r="A99" s="126" t="str">
        <f t="shared" ca="1" si="6"/>
        <v/>
      </c>
      <c r="B99" s="97" t="str">
        <f t="shared" ca="1" si="5"/>
        <v/>
      </c>
    </row>
    <row r="100" spans="1:2" x14ac:dyDescent="0.3">
      <c r="A100" s="126" t="str">
        <f t="shared" ca="1" si="6"/>
        <v/>
      </c>
      <c r="B100" s="97" t="str">
        <f t="shared" ca="1" si="5"/>
        <v/>
      </c>
    </row>
  </sheetData>
  <sheetProtection algorithmName="SHA-512" hashValue="zH/T8ERGKN35Ug656SaGx6HVpZ8A8Ct44jY3GUJEAzAH1v7SIP7PxKkCQQMJxRDwLQR7bkW6f2rcUfpfgwaarA==" saltValue="npYXHWU/ko40n/xvBrxefg==" spinCount="100000" sheet="1" selectLockedCells="1" sort="0"/>
  <sortState xmlns:xlrd2="http://schemas.microsoft.com/office/spreadsheetml/2017/richdata2" ref="H1:K66">
    <sortCondition descending="1" ref="H1"/>
  </sortState>
  <mergeCells count="5">
    <mergeCell ref="C1:D1"/>
    <mergeCell ref="C3:D3"/>
    <mergeCell ref="S1:Z2"/>
    <mergeCell ref="C2:D2"/>
    <mergeCell ref="T4:U4"/>
  </mergeCells>
  <dataValidations count="1">
    <dataValidation type="list" allowBlank="1" showInputMessage="1" showErrorMessage="1" sqref="C1" xr:uid="{00000000-0002-0000-0800-000000000000}">
      <formula1>$R$1:$R$3</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238EE-E542-4410-9668-F4803251CE0A}">
  <sheetPr>
    <tabColor theme="9" tint="-0.249977111117893"/>
  </sheetPr>
  <dimension ref="A1:EF55"/>
  <sheetViews>
    <sheetView zoomScale="110" zoomScaleNormal="110" workbookViewId="0">
      <pane xSplit="1" ySplit="1" topLeftCell="B2" activePane="bottomRight" state="frozen"/>
      <selection pane="topRight" activeCell="B1" sqref="B1"/>
      <selection pane="bottomLeft" activeCell="A2" sqref="A2"/>
      <selection pane="bottomRight" activeCell="AH16" sqref="AH16"/>
    </sheetView>
  </sheetViews>
  <sheetFormatPr defaultRowHeight="14.4" x14ac:dyDescent="0.3"/>
  <cols>
    <col min="1" max="1" width="46.5546875" customWidth="1"/>
    <col min="2" max="2" width="24.77734375" style="285" customWidth="1"/>
    <col min="3" max="3" width="4.77734375" style="285" hidden="1" customWidth="1"/>
    <col min="4" max="4" width="12.21875" hidden="1" customWidth="1"/>
    <col min="5" max="5" width="4" hidden="1" customWidth="1"/>
    <col min="6" max="6" width="24.77734375" customWidth="1"/>
    <col min="7" max="7" width="2" style="285" hidden="1" customWidth="1"/>
    <col min="8" max="9" width="7.77734375" style="285" hidden="1" customWidth="1"/>
    <col min="10" max="10" width="24.77734375" style="285" customWidth="1"/>
    <col min="11" max="13" width="7.77734375" style="285" hidden="1" customWidth="1"/>
    <col min="14" max="14" width="24.77734375" style="285" customWidth="1"/>
    <col min="15" max="17" width="7.77734375" style="285" hidden="1" customWidth="1"/>
    <col min="18" max="18" width="24.77734375" style="285" customWidth="1"/>
    <col min="19" max="21" width="7.77734375" style="285" hidden="1" customWidth="1"/>
    <col min="22" max="22" width="24.77734375" style="285" customWidth="1"/>
    <col min="23" max="25" width="7.77734375" style="285" hidden="1" customWidth="1"/>
    <col min="26" max="26" width="24.77734375" style="285" customWidth="1"/>
    <col min="27" max="29" width="7.77734375" style="285" hidden="1" customWidth="1"/>
    <col min="30" max="30" width="24.77734375" style="285" customWidth="1"/>
    <col min="31" max="33" width="7.77734375" style="285" hidden="1" customWidth="1"/>
    <col min="34" max="34" width="24.77734375" style="285" customWidth="1"/>
    <col min="35" max="37" width="7.77734375" style="285" hidden="1" customWidth="1"/>
    <col min="38" max="135" width="7.77734375" style="285" customWidth="1"/>
    <col min="136" max="136" width="8.88671875" customWidth="1"/>
  </cols>
  <sheetData>
    <row r="1" spans="1:136" ht="34.200000000000003" customHeight="1" x14ac:dyDescent="0.3">
      <c r="A1" s="408" t="s">
        <v>325</v>
      </c>
      <c r="B1" s="274" t="str">
        <f>IF(Dispensing!B1="","",Dispensing!B1)</f>
        <v/>
      </c>
      <c r="C1" s="275"/>
      <c r="D1" s="276"/>
      <c r="E1" s="276"/>
      <c r="F1" s="274" t="str">
        <f>IF(Dispensing!F1="","",Dispensing!F1)</f>
        <v/>
      </c>
      <c r="G1" s="277"/>
      <c r="H1" s="278"/>
      <c r="I1" s="278"/>
      <c r="J1" s="274" t="str">
        <f>IF(Dispensing!J1="","",Dispensing!J1)</f>
        <v/>
      </c>
      <c r="K1" s="280"/>
      <c r="L1" s="278"/>
      <c r="M1" s="278"/>
      <c r="N1" s="274" t="str">
        <f>IF(Dispensing!N1="","",Dispensing!N1)</f>
        <v/>
      </c>
      <c r="O1" s="280"/>
      <c r="P1" s="278"/>
      <c r="Q1" s="278"/>
      <c r="R1" s="274" t="str">
        <f>IF(Dispensing!R1="","",Dispensing!R1)</f>
        <v/>
      </c>
      <c r="S1" s="280"/>
      <c r="T1" s="278"/>
      <c r="U1" s="278"/>
      <c r="V1" s="274" t="str">
        <f>IF(Dispensing!V1="","",Dispensing!V1)</f>
        <v/>
      </c>
      <c r="W1" s="280"/>
      <c r="X1" s="278"/>
      <c r="Y1" s="278"/>
      <c r="Z1" s="274" t="str">
        <f>IF(Dispensing!Z1="","",Dispensing!Z1)</f>
        <v/>
      </c>
      <c r="AA1" s="280"/>
      <c r="AB1" s="278"/>
      <c r="AC1" s="278"/>
      <c r="AD1" s="274" t="str">
        <f>IF(Dispensing!AD1="","",Dispensing!AD1)</f>
        <v/>
      </c>
      <c r="AE1" s="280"/>
      <c r="AF1" s="278"/>
      <c r="AG1" s="278"/>
      <c r="AH1" s="274" t="str">
        <f>IF(Dispensing!AH1="","",Dispensing!AH1)</f>
        <v/>
      </c>
      <c r="AI1" s="234"/>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row>
    <row r="2" spans="1:136" x14ac:dyDescent="0.3">
      <c r="A2" s="357" t="s">
        <v>171</v>
      </c>
      <c r="B2" s="376" t="str">
        <f>IF(Dispensing!B2="","",Dispensing!B2)</f>
        <v/>
      </c>
      <c r="C2" s="376" t="str">
        <f>IF(Dispensing!C2="","",Dispensing!C2)</f>
        <v/>
      </c>
      <c r="D2" s="376" t="str">
        <f>IF(Dispensing!D2="","",Dispensing!D2)</f>
        <v/>
      </c>
      <c r="E2" s="376" t="str">
        <f>IF(Dispensing!E2="","",Dispensing!E2)</f>
        <v/>
      </c>
      <c r="F2" s="376" t="str">
        <f>IF(Dispensing!F2="","",Dispensing!F2)</f>
        <v/>
      </c>
      <c r="G2" s="376" t="str">
        <f>IF(Dispensing!G2="","",Dispensing!G2)</f>
        <v/>
      </c>
      <c r="H2" s="376" t="str">
        <f>IF(Dispensing!H2="","",Dispensing!H2)</f>
        <v/>
      </c>
      <c r="I2" s="376" t="str">
        <f>IF(Dispensing!I2="","",Dispensing!I2)</f>
        <v/>
      </c>
      <c r="J2" s="376" t="str">
        <f>IF(Dispensing!J2="","",Dispensing!J2)</f>
        <v/>
      </c>
      <c r="K2" s="376" t="str">
        <f>IF(Dispensing!K2="","",Dispensing!K2)</f>
        <v/>
      </c>
      <c r="L2" s="376" t="str">
        <f>IF(Dispensing!L2="","",Dispensing!L2)</f>
        <v/>
      </c>
      <c r="M2" s="376" t="str">
        <f>IF(Dispensing!M2="","",Dispensing!M2)</f>
        <v/>
      </c>
      <c r="N2" s="376" t="str">
        <f>IF(Dispensing!N2="","",Dispensing!N2)</f>
        <v/>
      </c>
      <c r="O2" s="376" t="str">
        <f>IF(Dispensing!O2="","",Dispensing!O2)</f>
        <v/>
      </c>
      <c r="P2" s="376" t="str">
        <f>IF(Dispensing!P2="","",Dispensing!P2)</f>
        <v/>
      </c>
      <c r="Q2" s="376" t="str">
        <f>IF(Dispensing!Q2="","",Dispensing!Q2)</f>
        <v/>
      </c>
      <c r="R2" s="376" t="str">
        <f>IF(Dispensing!R2="","",Dispensing!R2)</f>
        <v/>
      </c>
      <c r="S2" s="376" t="str">
        <f>IF(Dispensing!S2="","",Dispensing!S2)</f>
        <v/>
      </c>
      <c r="T2" s="376" t="str">
        <f>IF(Dispensing!T2="","",Dispensing!T2)</f>
        <v/>
      </c>
      <c r="U2" s="376" t="str">
        <f>IF(Dispensing!U2="","",Dispensing!U2)</f>
        <v/>
      </c>
      <c r="V2" s="376" t="str">
        <f>IF(Dispensing!V2="","",Dispensing!V2)</f>
        <v/>
      </c>
      <c r="W2" s="376" t="str">
        <f>IF(Dispensing!W2="","",Dispensing!W2)</f>
        <v/>
      </c>
      <c r="X2" s="376" t="str">
        <f>IF(Dispensing!X2="","",Dispensing!X2)</f>
        <v/>
      </c>
      <c r="Y2" s="376" t="str">
        <f>IF(Dispensing!Y2="","",Dispensing!Y2)</f>
        <v/>
      </c>
      <c r="Z2" s="376" t="str">
        <f>IF(Dispensing!Z2="","",Dispensing!Z2)</f>
        <v/>
      </c>
      <c r="AA2" s="376" t="str">
        <f>IF(Dispensing!AA2="","",Dispensing!AA2)</f>
        <v/>
      </c>
      <c r="AB2" s="376" t="str">
        <f>IF(Dispensing!AB2="","",Dispensing!AB2)</f>
        <v/>
      </c>
      <c r="AC2" s="376" t="str">
        <f>IF(Dispensing!AC2="","",Dispensing!AC2)</f>
        <v/>
      </c>
      <c r="AD2" s="376" t="str">
        <f>IF(Dispensing!AD2="","",Dispensing!AD2)</f>
        <v/>
      </c>
      <c r="AE2" s="376" t="str">
        <f>IF(Dispensing!AE2="","",Dispensing!AE2)</f>
        <v/>
      </c>
      <c r="AF2" s="376" t="str">
        <f>IF(Dispensing!AF2="","",Dispensing!AF2)</f>
        <v/>
      </c>
      <c r="AG2" s="376" t="str">
        <f>IF(Dispensing!AG2="","",Dispensing!AG2)</f>
        <v/>
      </c>
      <c r="AH2" s="376" t="str">
        <f>IF(Dispensing!AH2="","",Dispensing!AH2)</f>
        <v/>
      </c>
      <c r="AJ2"/>
      <c r="AK2"/>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row>
    <row r="3" spans="1:136" x14ac:dyDescent="0.3">
      <c r="A3" s="358" t="s">
        <v>172</v>
      </c>
      <c r="B3" s="377" t="str">
        <f>IF(Dispensing!B3="","",Dispensing!B3)</f>
        <v/>
      </c>
      <c r="C3" s="377" t="str">
        <f>IF(Dispensing!C3="","",Dispensing!C3)</f>
        <v/>
      </c>
      <c r="D3" s="377" t="str">
        <f>IF(Dispensing!D3="","",Dispensing!D3)</f>
        <v/>
      </c>
      <c r="E3" s="377" t="str">
        <f>IF(Dispensing!E3="","",Dispensing!E3)</f>
        <v/>
      </c>
      <c r="F3" s="377" t="str">
        <f>IF(Dispensing!F3="","",Dispensing!F3)</f>
        <v/>
      </c>
      <c r="G3" s="377" t="str">
        <f>IF(Dispensing!G3="","",Dispensing!G3)</f>
        <v/>
      </c>
      <c r="H3" s="377" t="str">
        <f>IF(Dispensing!H3="","",Dispensing!H3)</f>
        <v/>
      </c>
      <c r="I3" s="377" t="str">
        <f>IF(Dispensing!I3="","",Dispensing!I3)</f>
        <v/>
      </c>
      <c r="J3" s="377" t="str">
        <f>IF(Dispensing!J3="","",Dispensing!J3)</f>
        <v/>
      </c>
      <c r="K3" s="377" t="str">
        <f>IF(Dispensing!K3="","",Dispensing!K3)</f>
        <v/>
      </c>
      <c r="L3" s="377" t="str">
        <f>IF(Dispensing!L3="","",Dispensing!L3)</f>
        <v/>
      </c>
      <c r="M3" s="377" t="str">
        <f>IF(Dispensing!M3="","",Dispensing!M3)</f>
        <v/>
      </c>
      <c r="N3" s="377" t="str">
        <f>IF(Dispensing!N3="","",Dispensing!N3)</f>
        <v/>
      </c>
      <c r="O3" s="377" t="str">
        <f>IF(Dispensing!O3="","",Dispensing!O3)</f>
        <v/>
      </c>
      <c r="P3" s="377" t="str">
        <f>IF(Dispensing!P3="","",Dispensing!P3)</f>
        <v/>
      </c>
      <c r="Q3" s="377" t="str">
        <f>IF(Dispensing!Q3="","",Dispensing!Q3)</f>
        <v/>
      </c>
      <c r="R3" s="377" t="str">
        <f>IF(Dispensing!R3="","",Dispensing!R3)</f>
        <v/>
      </c>
      <c r="S3" s="377" t="str">
        <f>IF(Dispensing!S3="","",Dispensing!S3)</f>
        <v/>
      </c>
      <c r="T3" s="377" t="str">
        <f>IF(Dispensing!T3="","",Dispensing!T3)</f>
        <v/>
      </c>
      <c r="U3" s="377" t="str">
        <f>IF(Dispensing!U3="","",Dispensing!U3)</f>
        <v/>
      </c>
      <c r="V3" s="377" t="str">
        <f>IF(Dispensing!V3="","",Dispensing!V3)</f>
        <v/>
      </c>
      <c r="W3" s="377" t="str">
        <f>IF(Dispensing!W3="","",Dispensing!W3)</f>
        <v/>
      </c>
      <c r="X3" s="377" t="str">
        <f>IF(Dispensing!X3="","",Dispensing!X3)</f>
        <v/>
      </c>
      <c r="Y3" s="377" t="str">
        <f>IF(Dispensing!Y3="","",Dispensing!Y3)</f>
        <v/>
      </c>
      <c r="Z3" s="377" t="str">
        <f>IF(Dispensing!Z3="","",Dispensing!Z3)</f>
        <v/>
      </c>
      <c r="AA3" s="377" t="str">
        <f>IF(Dispensing!AA3="","",Dispensing!AA3)</f>
        <v/>
      </c>
      <c r="AB3" s="377" t="str">
        <f>IF(Dispensing!AB3="","",Dispensing!AB3)</f>
        <v/>
      </c>
      <c r="AC3" s="377" t="str">
        <f>IF(Dispensing!AC3="","",Dispensing!AC3)</f>
        <v/>
      </c>
      <c r="AD3" s="377" t="str">
        <f>IF(Dispensing!AD3="","",Dispensing!AD3)</f>
        <v/>
      </c>
      <c r="AE3" s="377" t="str">
        <f>IF(Dispensing!AE3="","",Dispensing!AE3)</f>
        <v/>
      </c>
      <c r="AF3" s="377" t="str">
        <f>IF(Dispensing!AF3="","",Dispensing!AF3)</f>
        <v/>
      </c>
      <c r="AG3" s="377" t="str">
        <f>IF(Dispensing!AG3="","",Dispensing!AG3)</f>
        <v/>
      </c>
      <c r="AH3" s="377" t="str">
        <f>IF(Dispensing!AH3="","",Dispensing!AH3)</f>
        <v/>
      </c>
      <c r="AJ3"/>
      <c r="AK3"/>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row>
    <row r="4" spans="1:136" ht="24.6" customHeight="1" x14ac:dyDescent="0.3">
      <c r="A4" s="361" t="s">
        <v>188</v>
      </c>
      <c r="B4" s="377" t="str">
        <f>IF(Dispensing!B4="","",Dispensing!B4)</f>
        <v/>
      </c>
      <c r="C4" s="379">
        <f>IF(B6="Yes",1,0)</f>
        <v>0</v>
      </c>
      <c r="D4" s="364"/>
      <c r="E4" s="364"/>
      <c r="F4" s="377" t="str">
        <f>IF(Dispensing!F4="","",Dispensing!F4)</f>
        <v/>
      </c>
      <c r="G4" s="228">
        <f>IF(F6="Yes",1,0)</f>
        <v>0</v>
      </c>
      <c r="H4" s="364"/>
      <c r="I4" s="364"/>
      <c r="J4" s="377" t="str">
        <f>IF(Dispensing!J4="","",Dispensing!J4)</f>
        <v/>
      </c>
      <c r="K4" s="228">
        <f>IF(J6="Yes",1,0)</f>
        <v>0</v>
      </c>
      <c r="L4" s="364"/>
      <c r="M4" s="364"/>
      <c r="N4" s="377" t="str">
        <f>IF(Dispensing!N4="","",Dispensing!N4)</f>
        <v/>
      </c>
      <c r="O4" s="228">
        <f>IF(N6="Yes",1,0)</f>
        <v>0</v>
      </c>
      <c r="P4" s="364"/>
      <c r="Q4" s="364"/>
      <c r="R4" s="377" t="str">
        <f>IF(Dispensing!R4="","",Dispensing!R4)</f>
        <v/>
      </c>
      <c r="S4" s="228">
        <f>IF(R6="Yes",1,0)</f>
        <v>0</v>
      </c>
      <c r="T4" s="364"/>
      <c r="U4" s="364"/>
      <c r="V4" s="377" t="str">
        <f>IF(Dispensing!V4="","",Dispensing!V4)</f>
        <v/>
      </c>
      <c r="W4" s="228">
        <f>IF(V6="Yes",1,0)</f>
        <v>0</v>
      </c>
      <c r="X4" s="364"/>
      <c r="Y4" s="364"/>
      <c r="Z4" s="377" t="str">
        <f>IF(Dispensing!Z4="","",Dispensing!Z4)</f>
        <v/>
      </c>
      <c r="AA4" s="228">
        <f>IF(Z6="Yes",1,0)</f>
        <v>0</v>
      </c>
      <c r="AB4" s="364"/>
      <c r="AC4" s="364"/>
      <c r="AD4" s="377" t="str">
        <f>IF(Dispensing!AD4="","",Dispensing!AD4)</f>
        <v/>
      </c>
      <c r="AE4" s="228">
        <f>IF(AD6="Yes",1,0)</f>
        <v>0</v>
      </c>
      <c r="AF4" s="364"/>
      <c r="AG4" s="364"/>
      <c r="AH4" s="377" t="str">
        <f>IF(Dispensing!AH4="","",Dispensing!AH4)</f>
        <v/>
      </c>
      <c r="AI4" s="228">
        <f>IF(AH6="Yes",1,0)</f>
        <v>0</v>
      </c>
      <c r="AJ4"/>
      <c r="AK4"/>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row>
    <row r="5" spans="1:136" ht="27" customHeight="1" x14ac:dyDescent="0.3">
      <c r="A5" s="243" t="s">
        <v>183</v>
      </c>
      <c r="B5" s="230"/>
      <c r="C5" s="225">
        <f>IF(D5="",0,1)</f>
        <v>0</v>
      </c>
      <c r="D5" s="192" t="str">
        <f>IF(OR(B5="Yes",B7="Yes"),"Rx","")</f>
        <v/>
      </c>
      <c r="E5" s="192" t="str">
        <f>IF(AND(D5="Rx",E8=0),"Simple",IF(AND(D5="Rx",E8&lt;3),"Moderate",IF(AND(D5="Rx",E8&lt;5),"Complex",IF(AND(D5="Rx",E8&gt;4),"Very Complex",""))))</f>
        <v/>
      </c>
      <c r="F5" s="230"/>
      <c r="G5" s="225">
        <f>IF(H5="",0,1)</f>
        <v>0</v>
      </c>
      <c r="H5" s="192" t="str">
        <f>IF(OR(F5="Yes",F7="Yes"),"Rx","")</f>
        <v/>
      </c>
      <c r="I5" s="192" t="str">
        <f>IF(AND(H5="Rx",I8=0),"Simple",IF(AND(H5="Rx",I8&lt;3),"Moderate",IF(AND(H5="Rx",I8&lt;5),"Complex",IF(AND(H5="Rx",I8&gt;4),"Very Complex",""))))</f>
        <v/>
      </c>
      <c r="J5" s="230"/>
      <c r="K5" s="225">
        <f>IF(L5="",0,1)</f>
        <v>0</v>
      </c>
      <c r="L5" s="192" t="str">
        <f>IF(OR(J5="Yes",J7="Yes"),"Rx","")</f>
        <v/>
      </c>
      <c r="M5" s="192" t="str">
        <f>IF(AND(L5="Rx",M8=0),"Simple",IF(AND(L5="Rx",M8&lt;3),"Moderate",IF(AND(L5="Rx",M8&lt;5),"Complex",IF(AND(L5="Rx",M8&gt;4),"Very Complex",""))))</f>
        <v/>
      </c>
      <c r="N5" s="230"/>
      <c r="O5" s="225">
        <f>IF(P5="",0,1)</f>
        <v>0</v>
      </c>
      <c r="P5" s="192" t="str">
        <f>IF(OR(N5="Yes",N7="Yes"),"Rx","")</f>
        <v/>
      </c>
      <c r="Q5" s="192" t="str">
        <f>IF(AND(P5="Rx",Q8=0),"Simple",IF(AND(P5="Rx",Q8&lt;3),"Moderate",IF(AND(P5="Rx",Q8&lt;5),"Complex",IF(AND(P5="Rx",Q8&gt;4),"Very Complex",""))))</f>
        <v/>
      </c>
      <c r="R5" s="230"/>
      <c r="S5" s="225">
        <f>IF(T5="",0,1)</f>
        <v>0</v>
      </c>
      <c r="T5" s="192" t="str">
        <f>IF(OR(R5="Yes",R7="Yes"),"Rx","")</f>
        <v/>
      </c>
      <c r="U5" s="192" t="str">
        <f>IF(AND(T5="Rx",U8=0),"Simple",IF(AND(T5="Rx",U8&lt;3),"Moderate",IF(AND(T5="Rx",U8&lt;5),"Complex",IF(AND(T5="Rx",U8&gt;4),"Very Complex",""))))</f>
        <v/>
      </c>
      <c r="V5" s="230"/>
      <c r="W5" s="225">
        <f>IF(X5="",0,1)</f>
        <v>0</v>
      </c>
      <c r="X5" s="192" t="str">
        <f>IF(OR(V5="Yes",V7="Yes"),"Rx","")</f>
        <v/>
      </c>
      <c r="Y5" s="192" t="str">
        <f>IF(AND(X5="Rx",Y8=0),"Simple",IF(AND(X5="Rx",Y8&lt;3),"Moderate",IF(AND(X5="Rx",Y8&lt;5),"Complex",IF(AND(X5="Rx",Y8&gt;4),"Very Complex",""))))</f>
        <v/>
      </c>
      <c r="Z5" s="230"/>
      <c r="AA5" s="225">
        <f>IF(AB5="",0,1)</f>
        <v>0</v>
      </c>
      <c r="AB5" s="192" t="str">
        <f>IF(OR(Z5="Yes",Z7="Yes"),"Rx","")</f>
        <v/>
      </c>
      <c r="AC5" s="192" t="str">
        <f>IF(AND(AB5="Rx",AC8=0),"Simple",IF(AND(AB5="Rx",AC8&lt;3),"Moderate",IF(AND(AB5="Rx",AC8&lt;5),"Complex",IF(AND(AB5="Rx",AC8&gt;4),"Very Complex",""))))</f>
        <v/>
      </c>
      <c r="AD5" s="230"/>
      <c r="AE5" s="225">
        <f>IF(AF5="",0,1)</f>
        <v>0</v>
      </c>
      <c r="AF5" s="192" t="str">
        <f>IF(OR(AD5="Yes",AD7="Yes"),"Rx","")</f>
        <v/>
      </c>
      <c r="AG5" s="192" t="str">
        <f>IF(AND(AF5="Rx",AG8=0),"Simple",IF(AND(AF5="Rx",AG8&lt;3),"Moderate",IF(AND(AF5="Rx",AG8&lt;5),"Complex",IF(AND(AF5="Rx",AG8&gt;4),"Very Complex",""))))</f>
        <v/>
      </c>
      <c r="AH5" s="230"/>
      <c r="AI5" s="225">
        <f>IF(AJ5="",0,1)</f>
        <v>0</v>
      </c>
      <c r="AJ5" s="192" t="str">
        <f>IF(OR(AH5="Yes",AH7="Yes"),"Rx","")</f>
        <v/>
      </c>
      <c r="AK5" s="192" t="str">
        <f>IF(AND(AJ5="Rx",AK8=0),"Simple",IF(AND(AJ5="Rx",AK8&lt;3),"Moderate",IF(AND(AJ5="Rx",AK8&lt;5),"Complex",IF(AND(AJ5="Rx",AK8&gt;4),"Very Complex",""))))</f>
        <v/>
      </c>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t="s">
        <v>48</v>
      </c>
    </row>
    <row r="6" spans="1:136" ht="25.8" customHeight="1" x14ac:dyDescent="0.3">
      <c r="A6" s="243" t="s">
        <v>212</v>
      </c>
      <c r="B6" s="230"/>
      <c r="C6" s="296"/>
      <c r="D6" s="192"/>
      <c r="E6" s="192"/>
      <c r="F6" s="230"/>
      <c r="G6" s="296"/>
      <c r="H6" s="192"/>
      <c r="I6" s="192"/>
      <c r="J6" s="230"/>
      <c r="K6" s="296"/>
      <c r="L6" s="192"/>
      <c r="M6" s="192"/>
      <c r="N6" s="230"/>
      <c r="O6" s="296"/>
      <c r="P6" s="192"/>
      <c r="Q6" s="192"/>
      <c r="R6" s="230"/>
      <c r="S6" s="296"/>
      <c r="T6" s="192"/>
      <c r="U6" s="192"/>
      <c r="V6" s="230"/>
      <c r="W6" s="296"/>
      <c r="X6" s="192"/>
      <c r="Y6" s="192"/>
      <c r="Z6" s="230"/>
      <c r="AA6" s="296"/>
      <c r="AB6" s="192"/>
      <c r="AC6" s="192"/>
      <c r="AD6" s="230"/>
      <c r="AE6" s="296"/>
      <c r="AF6" s="192"/>
      <c r="AG6" s="192"/>
      <c r="AH6" s="230"/>
      <c r="AI6" s="296"/>
      <c r="AJ6" s="192"/>
      <c r="AK6" s="192"/>
      <c r="AL6" s="10"/>
      <c r="AM6" s="296"/>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t="s">
        <v>49</v>
      </c>
    </row>
    <row r="7" spans="1:136" x14ac:dyDescent="0.3">
      <c r="A7" s="244" t="s">
        <v>158</v>
      </c>
      <c r="B7" s="230"/>
      <c r="F7" s="230"/>
      <c r="H7"/>
      <c r="I7"/>
      <c r="J7" s="230"/>
      <c r="L7"/>
      <c r="M7"/>
      <c r="N7" s="230"/>
      <c r="P7"/>
      <c r="Q7"/>
      <c r="R7" s="230"/>
      <c r="T7"/>
      <c r="U7"/>
      <c r="V7" s="230"/>
      <c r="X7"/>
      <c r="Y7"/>
      <c r="Z7" s="230"/>
      <c r="AB7"/>
      <c r="AC7"/>
      <c r="AD7" s="230"/>
      <c r="AF7"/>
      <c r="AG7"/>
      <c r="AH7" s="230"/>
      <c r="AJ7"/>
      <c r="AK7"/>
    </row>
    <row r="8" spans="1:136" ht="27.6" customHeight="1" x14ac:dyDescent="0.3">
      <c r="A8" s="252" t="s">
        <v>179</v>
      </c>
      <c r="B8" s="230"/>
      <c r="C8" s="226">
        <f>IF(SUM(C11,C5,C9)&lt;1,1,0)</f>
        <v>1</v>
      </c>
      <c r="D8" s="227">
        <f>IF(B5="Yes",0,IF(B8&lt;15,0,IF(AND(B8&gt;14,B8&lt;61),1,IF(AND(B8&gt;60,B8&lt;121),2,IF(AND(B8&gt;120,B8&lt;200),3,5)))))</f>
        <v>0</v>
      </c>
      <c r="E8" s="110">
        <f>D8+C12+C19+C20+C22+C13+C15+C17+C18+C4</f>
        <v>0</v>
      </c>
      <c r="F8" s="230"/>
      <c r="G8" s="226">
        <f>IF(SUM(G11,G5,G9)&lt;1,1,0)</f>
        <v>1</v>
      </c>
      <c r="H8" s="227">
        <f>IF(F5="Yes",0,IF(F8&lt;15,0,IF(AND(F8&gt;14,F8&lt;61),1,IF(AND(F8&gt;60,F8&lt;121),2,IF(AND(F8&gt;120,F8&lt;200),3,5)))))</f>
        <v>0</v>
      </c>
      <c r="I8" s="110">
        <f>H8+G12+G19+G20+G22+G13+G15+G17+G18+G4</f>
        <v>0</v>
      </c>
      <c r="J8" s="230"/>
      <c r="K8" s="226">
        <f>IF(SUM(K11,K5,K9)&lt;1,1,0)</f>
        <v>1</v>
      </c>
      <c r="L8" s="227">
        <f>IF(J5="Yes",0,IF(J8&lt;15,0,IF(AND(J8&gt;14,J8&lt;61),1,IF(AND(J8&gt;60,J8&lt;121),2,IF(AND(J8&gt;120,J8&lt;200),3,5)))))</f>
        <v>0</v>
      </c>
      <c r="M8" s="110">
        <f>L8+K12+K19+K20+K22+K13+K15+K17+K18+K4</f>
        <v>0</v>
      </c>
      <c r="N8" s="230"/>
      <c r="O8" s="226">
        <f>IF(SUM(O11,O5,O9)&lt;1,1,0)</f>
        <v>1</v>
      </c>
      <c r="P8" s="227">
        <f>IF(N5="Yes",0,IF(N8&lt;15,0,IF(AND(N8&gt;14,N8&lt;61),1,IF(AND(N8&gt;60,N8&lt;121),2,IF(AND(N8&gt;120,N8&lt;200),3,5)))))</f>
        <v>0</v>
      </c>
      <c r="Q8" s="110">
        <f>P8+O12+O19+O20+O22+O13+O15+O17+O18+O4</f>
        <v>0</v>
      </c>
      <c r="R8" s="230"/>
      <c r="S8" s="226">
        <f>IF(SUM(S11,S5,S9)&lt;1,1,0)</f>
        <v>1</v>
      </c>
      <c r="T8" s="227">
        <f>IF(R5="Yes",0,IF(R8&lt;15,0,IF(AND(R8&gt;14,R8&lt;61),1,IF(AND(R8&gt;60,R8&lt;121),2,IF(AND(R8&gt;120,R8&lt;200),3,5)))))</f>
        <v>0</v>
      </c>
      <c r="U8" s="110">
        <f>T8+S12+S19+S20+S22+S13+S15+S17+S18+S4</f>
        <v>0</v>
      </c>
      <c r="V8" s="230"/>
      <c r="W8" s="226">
        <f>IF(SUM(W11,W5,W9)&lt;1,1,0)</f>
        <v>1</v>
      </c>
      <c r="X8" s="227">
        <f>IF(V5="Yes",0,IF(V8&lt;15,0,IF(AND(V8&gt;14,V8&lt;61),1,IF(AND(V8&gt;60,V8&lt;121),2,IF(AND(V8&gt;120,V8&lt;200),3,5)))))</f>
        <v>0</v>
      </c>
      <c r="Y8" s="110">
        <f>X8+W12+W19+W20+W22+W13+W15+W17+W18+W4</f>
        <v>0</v>
      </c>
      <c r="Z8" s="230"/>
      <c r="AA8" s="226">
        <f>IF(SUM(AA11,AA5,AA9)&lt;1,1,0)</f>
        <v>1</v>
      </c>
      <c r="AB8" s="227"/>
      <c r="AC8" s="110">
        <f>AB8+AA12+AA19+AA20+AA22+AA13+AA15+AA17+AA18+AA4</f>
        <v>0</v>
      </c>
      <c r="AD8" s="230"/>
      <c r="AE8" s="226">
        <f>IF(SUM(AE11,AE5,AE9)&lt;1,1,0)</f>
        <v>1</v>
      </c>
      <c r="AF8" s="227"/>
      <c r="AG8" s="110">
        <f>AF8+AE12+AE19+AE20+AE22+AE13+AE15+AE17+AE18+AE4</f>
        <v>0</v>
      </c>
      <c r="AH8" s="230"/>
      <c r="AI8" s="226">
        <f>IF(SUM(AI11,AI5,AI9)&lt;1,1,0)</f>
        <v>1</v>
      </c>
      <c r="AJ8" s="227">
        <f>IF(AH5="Yes",0,IF(AH8&lt;15,0,IF(AND(AH8&gt;14,AH8&lt;61),1,IF(AND(AH8&gt;60,AH8&lt;121),2,IF(AND(AH8&gt;120,AH8&lt;200),3,5)))))</f>
        <v>0</v>
      </c>
      <c r="AK8" s="110">
        <f>AJ8+AI12+AI19+AI20+AI22+AI13+AI15+AI17+AI18+AI4</f>
        <v>0</v>
      </c>
    </row>
    <row r="9" spans="1:136" x14ac:dyDescent="0.3">
      <c r="A9" s="244" t="s">
        <v>160</v>
      </c>
      <c r="B9" s="230"/>
      <c r="C9" s="225">
        <f>IF(D9="",0,1)</f>
        <v>0</v>
      </c>
      <c r="D9" s="192" t="str">
        <f>IF(B10="Yes","Sterile Prep",IF(AND(D5="",B10="No"),"Sterile Prep",""))</f>
        <v/>
      </c>
      <c r="E9" s="192" t="str">
        <f>IF(AND(D9="Sterile Prep",$C$23=0),"simple",IF(AND(D9="Sterile Prep",$C$23&lt;3),"moderate",IF(AND(D9="Sterile Prep",$C$23&lt;6),"complex",IF(AND(D9="Sterile Prep",$C$23&lt;10),"very complex",IF(AND(D9="Sterile Prep",$C$23&gt;9),"special preparation","")))))</f>
        <v/>
      </c>
      <c r="F9" s="230"/>
      <c r="G9" s="225">
        <f>IF(H9="",0,1)</f>
        <v>0</v>
      </c>
      <c r="H9" s="192" t="str">
        <f>IF(F10="Yes","Sterile Prep",IF(AND(H5="",F10="No"),"Sterile Prep",""))</f>
        <v/>
      </c>
      <c r="I9" s="192" t="str">
        <f>IF(AND(H9="Sterile Prep",$G$23=0),"simple",IF(AND(H9="Sterile Prep",$G$23&lt;3),"moderate",IF(AND(H9="Sterile Prep",$G$23&lt;6),"complex",IF(AND(H9="Sterile Prep",$G$23&lt;10),"very complex",IF(AND(H9="Sterile Prep",$G$23&gt;9),"special preparation","")))))</f>
        <v/>
      </c>
      <c r="J9" s="230"/>
      <c r="K9" s="225">
        <f>IF(L9="",0,1)</f>
        <v>0</v>
      </c>
      <c r="L9" s="192" t="str">
        <f>IF(J10="Yes","Sterile Prep",IF(AND(L5="",J10="No"),"Sterile Prep",""))</f>
        <v/>
      </c>
      <c r="M9" s="192" t="str">
        <f>IF(AND(L9="Sterile Prep",$K$23=0),"simple",IF(AND(L9="Sterile Prep",$K$23&lt;3),"moderate",IF(AND(L9="Sterile Prep",$K$23&lt;6),"complex",IF(AND(L9="Sterile Prep",$K$23&lt;10),"very complex",IF(AND(L9="Sterile Prep",$K$23&gt;9),"special preparation","")))))</f>
        <v/>
      </c>
      <c r="N9" s="230"/>
      <c r="O9" s="225">
        <f>IF(P9="",0,1)</f>
        <v>0</v>
      </c>
      <c r="P9" s="192" t="str">
        <f>IF(N10="Yes","Sterile Prep",IF(AND(P5="",N10="No"),"Sterile Prep",""))</f>
        <v/>
      </c>
      <c r="Q9" s="192" t="str">
        <f>IF(AND(P9="Sterile Prep",$O$23=0),"simple",IF(AND(P9="Sterile Prep",$O$23&lt;3),"moderate",IF(AND(P9="Sterile Prep",$O$23&lt;6),"complex",IF(AND(P9="Sterile Prep",$O$23&lt;10),"very complex",IF(AND(P9="Sterile Prep",$O$23&gt;9),"special preparation","")))))</f>
        <v/>
      </c>
      <c r="R9" s="230"/>
      <c r="S9" s="225">
        <f>IF(T9="",0,1)</f>
        <v>0</v>
      </c>
      <c r="T9" s="192" t="str">
        <f>IF(R10="Yes","Sterile Prep",IF(AND(T5="",R10="No"),"Sterile Prep",""))</f>
        <v/>
      </c>
      <c r="U9" s="192" t="str">
        <f>IF(AND(T9="Sterile Prep",$S$23=0),"simple",IF(AND(T9="Sterile Prep",$S$23&lt;3),"moderate",IF(AND(T9="Sterile Prep",$S$23&lt;6),"complex",IF(AND(T9="Sterile Prep",$S$23&lt;10),"very complex",IF(AND(T9="Sterile Prep",$S$23&gt;9),"special preparation","")))))</f>
        <v/>
      </c>
      <c r="V9" s="230"/>
      <c r="W9" s="225">
        <f>IF(X9="",0,1)</f>
        <v>0</v>
      </c>
      <c r="X9" s="192" t="str">
        <f>IF(V10="Yes","Sterile Prep",IF(AND(X5="",V10="No"),"Sterile Prep",""))</f>
        <v/>
      </c>
      <c r="Y9" s="192" t="str">
        <f>IF(AND(X9="Sterile Prep",$W$23=0),"simple",IF(AND(X9="Sterile Prep",$W$23&lt;3),"moderate",IF(AND(X9="Sterile Prep",$W$23&lt;6),"complex",IF(AND(X9="Sterile Prep",$W$23&lt;10),"very complex",IF(AND(X9="Sterile Prep",$W$23&gt;9),"special preparation","")))))</f>
        <v/>
      </c>
      <c r="Z9" s="230"/>
      <c r="AA9" s="225">
        <f>IF(AB9="",0,1)</f>
        <v>0</v>
      </c>
      <c r="AB9" s="192" t="str">
        <f>IF(Z10="Yes","Sterile Prep",IF(AND(AB5="",Z10="No"),"Sterile Prep",""))</f>
        <v/>
      </c>
      <c r="AC9" s="192" t="str">
        <f>IF(AND(AB9="Sterile Prep",$AI$23=0),"simple",IF(AND(AB9="Sterile Prep",$AI$23&lt;3),"moderate",IF(AND(AB9="Sterile Prep",$AI$23&lt;6),"complex",IF(AND(AB9="Sterile Prep",$AI$23&lt;10),"very complex",IF(AND(AB9="Sterile Prep",$AI$23&gt;9),"special preparation","")))))</f>
        <v/>
      </c>
      <c r="AD9" s="230"/>
      <c r="AE9" s="225">
        <f>IF(AF9="",0,1)</f>
        <v>0</v>
      </c>
      <c r="AF9" s="192" t="str">
        <f>IF(AD10="Yes","Sterile Prep",IF(AND(AF5="",AD10="No"),"Sterile Prep",""))</f>
        <v/>
      </c>
      <c r="AG9" s="192" t="str">
        <f>IF(AND(AF9="Sterile Prep",$AE$23=0),"simple",IF(AND(AF9="Sterile Prep",$AE$23&lt;3),"moderate",IF(AND(AF9="Sterile Prep",$AE$23&lt;6),"complex",IF(AND(AF9="Sterile Prep",$AE$23&lt;10),"very complex",IF(AND(AF9="Sterile Prep",$AE$23&gt;9),"special preparation","")))))</f>
        <v/>
      </c>
      <c r="AH9" s="230"/>
      <c r="AI9" s="225">
        <f>IF(AJ9="",0,1)</f>
        <v>0</v>
      </c>
      <c r="AJ9" s="192" t="str">
        <f>IF(AH10="Yes","Sterile Prep",IF(AND(AJ5="",AH10="No"),"Sterile Prep",""))</f>
        <v/>
      </c>
      <c r="AK9" s="192" t="str">
        <f>IF(AND(AJ9="Sterile Prep",$AI$23=0),"simple",IF(AND(AJ9="Sterile Prep",$AI$23&lt;3),"moderate",IF(AND(AJ9="Sterile Prep",$AI$23&lt;6),"complex",IF(AND(AJ9="Sterile Prep",$AI$23&lt;10),"very complex",IF(AND(AJ9="Sterile Prep",$AI$23&gt;9),"special preparation","")))))</f>
        <v/>
      </c>
    </row>
    <row r="10" spans="1:136" ht="30" customHeight="1" x14ac:dyDescent="0.3">
      <c r="A10" s="287" t="s">
        <v>184</v>
      </c>
      <c r="B10" s="230"/>
      <c r="C10" s="225"/>
      <c r="D10" s="192"/>
      <c r="E10" s="192"/>
      <c r="F10" s="230"/>
      <c r="G10" s="225"/>
      <c r="H10" s="192"/>
      <c r="I10" s="192"/>
      <c r="J10" s="230"/>
      <c r="K10" s="225"/>
      <c r="L10" s="192"/>
      <c r="M10" s="192"/>
      <c r="N10" s="230"/>
      <c r="O10" s="225"/>
      <c r="P10" s="192"/>
      <c r="Q10" s="192"/>
      <c r="R10" s="230"/>
      <c r="S10" s="225"/>
      <c r="T10" s="192"/>
      <c r="U10" s="192"/>
      <c r="V10" s="230"/>
      <c r="W10" s="225"/>
      <c r="X10" s="192"/>
      <c r="Y10" s="192"/>
      <c r="Z10" s="230"/>
      <c r="AA10" s="225"/>
      <c r="AB10" s="192"/>
      <c r="AC10" s="192"/>
      <c r="AD10" s="230"/>
      <c r="AE10" s="225"/>
      <c r="AF10" s="192"/>
      <c r="AG10" s="192"/>
      <c r="AH10" s="230"/>
      <c r="AI10" s="225"/>
      <c r="AJ10" s="192"/>
      <c r="AK10" s="192"/>
    </row>
    <row r="11" spans="1:136" x14ac:dyDescent="0.3">
      <c r="A11" s="244" t="s">
        <v>161</v>
      </c>
      <c r="B11" s="230"/>
      <c r="C11" s="225">
        <f>IF(D11="",0,1)</f>
        <v>0</v>
      </c>
      <c r="D11" s="192" t="str">
        <f>IF(B11="Yes","Sterile Prep","")</f>
        <v/>
      </c>
      <c r="E11" s="192" t="str">
        <f>IF(AND(D11="Sterile Prep",$C$23=0),"simple",IF(AND(D11="Sterile Prep",$C$23&lt;3),"moderate",IF(AND(D11="Sterile Prep",$C$23&lt;6),"complex",IF(AND(D11="Sterile Prep",$C$23&lt;10),"very complex",IF(AND(D11="Sterile Prep",$C$23&gt;9),"special preparation","")))))</f>
        <v/>
      </c>
      <c r="F11" s="230"/>
      <c r="G11" s="225">
        <f>IF(H11="",0,1)</f>
        <v>0</v>
      </c>
      <c r="H11" s="192" t="str">
        <f>IF(F11="Yes","Sterile Prep","")</f>
        <v/>
      </c>
      <c r="I11" s="192" t="str">
        <f>IF(AND(H11="Sterile Prep",$G$23=0),"simple",IF(AND(H11="Sterile Prep",$G$23&lt;3),"moderate",IF(AND(H11="Sterile Prep",$G$23&lt;6),"complex",IF(AND(H11="Sterile Prep",$G$23&lt;10),"very complex",IF(AND(H11="Sterile Prep",$G$23&gt;9),"special preparation","")))))</f>
        <v/>
      </c>
      <c r="J11" s="230"/>
      <c r="K11" s="225">
        <f>IF(L11="",0,1)</f>
        <v>0</v>
      </c>
      <c r="L11" s="192" t="str">
        <f>IF(J11="Yes","Sterile Prep","")</f>
        <v/>
      </c>
      <c r="M11" s="192" t="str">
        <f>IF(AND(L11="Sterile Prep",$K$23=0),"simple",IF(AND(L11="Sterile Prep",$K$23&lt;3),"moderate",IF(AND(L11="Sterile Prep",$K$23&lt;6),"complex",IF(AND(L11="Sterile Prep",$K$23&lt;10),"very complex",IF(AND(L11="Sterile Prep",$K$23&gt;9),"special preparation","")))))</f>
        <v/>
      </c>
      <c r="N11" s="230"/>
      <c r="O11" s="225">
        <f>IF(P11="",0,1)</f>
        <v>0</v>
      </c>
      <c r="P11" s="192" t="str">
        <f>IF(N11="Yes","Sterile Prep","")</f>
        <v/>
      </c>
      <c r="Q11" s="192" t="str">
        <f>IF(AND(P11="Sterile Prep",$O$23=0),"simple",IF(AND(P11="Sterile Prep",$O$23&lt;3),"moderate",IF(AND(P11="Sterile Prep",$O$23&lt;6),"complex",IF(AND(P11="Sterile Prep",$O$23&lt;10),"very complex",IF(AND(P11="Sterile Prep",$O$23&gt;9),"special preparation","")))))</f>
        <v/>
      </c>
      <c r="R11" s="230"/>
      <c r="S11" s="225">
        <f>IF(T11="",0,1)</f>
        <v>0</v>
      </c>
      <c r="T11" s="192" t="str">
        <f>IF(R11="Yes","Sterile Prep","")</f>
        <v/>
      </c>
      <c r="U11" s="192" t="str">
        <f>IF(AND(T11="Sterile Prep",$S$23=0),"simple",IF(AND(T11="Sterile Prep",$S$23&lt;3),"moderate",IF(AND(T11="Sterile Prep",$S$23&lt;6),"complex",IF(AND(T11="Sterile Prep",$S$23&lt;10),"very complex",IF(AND(T11="Sterile Prep",$S$23&gt;9),"special preparation","")))))</f>
        <v/>
      </c>
      <c r="V11" s="230"/>
      <c r="W11" s="225">
        <f>IF(X11="",0,1)</f>
        <v>0</v>
      </c>
      <c r="X11" s="192" t="str">
        <f>IF(V11="Yes","Sterile Prep","")</f>
        <v/>
      </c>
      <c r="Y11" s="192" t="str">
        <f>IF(AND(X11="Sterile Prep",$W$23=0),"simple",IF(AND(X11="Sterile Prep",$W$23&lt;3),"moderate",IF(AND(X11="Sterile Prep",$W$23&lt;6),"complex",IF(AND(X11="Sterile Prep",$W$23&lt;10),"very complex",IF(AND(X11="Sterile Prep",$W$23&gt;9),"special preparation","")))))</f>
        <v/>
      </c>
      <c r="Z11" s="230"/>
      <c r="AA11" s="225">
        <f>IF(AB11="",0,1)</f>
        <v>0</v>
      </c>
      <c r="AB11" s="192" t="str">
        <f>IF(Z11="Yes","Sterile Prep","")</f>
        <v/>
      </c>
      <c r="AC11" s="192" t="str">
        <f>IF(AND(AB11="Sterile Prep",$AA$23=0),"simple",IF(AND(AB11="Sterile Prep",$AA$23&lt;3),"moderate",IF(AND(AB11="Sterile Prep",$AA$23&lt;6),"complex",IF(AND(AB11="Sterile Prep",$AA$23&lt;10),"very complex",IF(AND(AB11="Sterile Prep",$AA$23&gt;9),"special preparation","")))))</f>
        <v/>
      </c>
      <c r="AD11" s="230"/>
      <c r="AE11" s="225">
        <f>IF(AF11="",0,1)</f>
        <v>0</v>
      </c>
      <c r="AF11" s="192" t="str">
        <f>IF(AD11="Yes","Sterile Prep","")</f>
        <v/>
      </c>
      <c r="AG11" s="192" t="str">
        <f>IF(AND(AF11="Sterile Prep",$AI$23=0),"simple",IF(AND(AF11="Sterile Prep",$AI$23&lt;3),"moderate",IF(AND(AF11="Sterile Prep",$AI$23&lt;6),"complex",IF(AND(AF11="Sterile Prep",$AI$23&lt;10),"very complex",IF(AND(AF11="Sterile Prep",$AI$23&gt;9),"special preparation","")))))</f>
        <v/>
      </c>
      <c r="AH11" s="230"/>
      <c r="AI11" s="225">
        <f>IF(AJ11="",0,1)</f>
        <v>0</v>
      </c>
      <c r="AJ11" s="192" t="str">
        <f>IF(AH11="Yes","Sterile Prep","")</f>
        <v/>
      </c>
      <c r="AK11" s="192" t="str">
        <f>IF(AND(AJ11="Sterile Prep",$AI$23=0),"simple",IF(AND(AJ11="Sterile Prep",$AI$23&lt;3),"moderate",IF(AND(AJ11="Sterile Prep",$AI$23&lt;6),"complex",IF(AND(AJ11="Sterile Prep",$AI$23&lt;10),"very complex",IF(AND(AJ11="Sterile Prep",$AI$23&gt;9),"special preparation","")))))</f>
        <v/>
      </c>
    </row>
    <row r="12" spans="1:136" x14ac:dyDescent="0.3">
      <c r="A12" s="243" t="s">
        <v>173</v>
      </c>
      <c r="B12" s="230"/>
      <c r="C12" s="228">
        <f>IF(B12="Yes",1,0)</f>
        <v>0</v>
      </c>
      <c r="F12" s="230"/>
      <c r="G12" s="228">
        <f>IF(F12="Yes",1,0)</f>
        <v>0</v>
      </c>
      <c r="H12"/>
      <c r="I12"/>
      <c r="J12" s="230"/>
      <c r="K12" s="228">
        <f>IF(J12="Yes",1,0)</f>
        <v>0</v>
      </c>
      <c r="L12"/>
      <c r="M12"/>
      <c r="N12" s="230"/>
      <c r="O12" s="228">
        <f>IF(N12="Yes",1,0)</f>
        <v>0</v>
      </c>
      <c r="P12"/>
      <c r="Q12"/>
      <c r="R12" s="230"/>
      <c r="S12" s="228">
        <f>IF(R12="Yes",1,0)</f>
        <v>0</v>
      </c>
      <c r="T12"/>
      <c r="U12"/>
      <c r="V12" s="230"/>
      <c r="W12" s="228">
        <f>IF(V12="Yes",1,0)</f>
        <v>0</v>
      </c>
      <c r="X12"/>
      <c r="Y12"/>
      <c r="Z12" s="230"/>
      <c r="AA12" s="228">
        <f>IF(Z12="Yes",1,0)</f>
        <v>0</v>
      </c>
      <c r="AB12"/>
      <c r="AC12"/>
      <c r="AD12" s="230"/>
      <c r="AE12" s="228">
        <f>IF(AD12="Yes",1,0)</f>
        <v>0</v>
      </c>
      <c r="AF12"/>
      <c r="AG12"/>
      <c r="AH12" s="230"/>
      <c r="AI12" s="228">
        <f>IF(AH12="Yes",1,0)</f>
        <v>0</v>
      </c>
      <c r="AJ12"/>
      <c r="AK12"/>
    </row>
    <row r="13" spans="1:136" x14ac:dyDescent="0.3">
      <c r="A13" s="244" t="s">
        <v>163</v>
      </c>
      <c r="B13" s="230"/>
      <c r="C13" s="228">
        <f>IF(B13="Yes",1,0)</f>
        <v>0</v>
      </c>
      <c r="F13" s="230"/>
      <c r="G13" s="228">
        <f>IF(F13="Yes",1,0)</f>
        <v>0</v>
      </c>
      <c r="H13"/>
      <c r="I13"/>
      <c r="J13" s="230"/>
      <c r="K13" s="228">
        <f>IF(J13="Yes",1,0)</f>
        <v>0</v>
      </c>
      <c r="L13"/>
      <c r="M13"/>
      <c r="N13" s="230"/>
      <c r="O13" s="228">
        <f>IF(N13="Yes",1,0)</f>
        <v>0</v>
      </c>
      <c r="P13"/>
      <c r="Q13"/>
      <c r="R13" s="230"/>
      <c r="S13" s="228">
        <f>IF(R13="Yes",1,0)</f>
        <v>0</v>
      </c>
      <c r="T13"/>
      <c r="U13"/>
      <c r="V13" s="230"/>
      <c r="W13" s="228">
        <f>IF(V13="Yes",1,0)</f>
        <v>0</v>
      </c>
      <c r="X13"/>
      <c r="Y13"/>
      <c r="Z13" s="230"/>
      <c r="AA13" s="228">
        <f>IF(Z13="Yes",1,0)</f>
        <v>0</v>
      </c>
      <c r="AB13"/>
      <c r="AC13"/>
      <c r="AD13" s="230"/>
      <c r="AE13" s="228">
        <f>IF(AD13="Yes",1,0)</f>
        <v>0</v>
      </c>
      <c r="AF13"/>
      <c r="AG13"/>
      <c r="AH13" s="230"/>
      <c r="AI13" s="228">
        <f>IF(AH13="Yes",1,0)</f>
        <v>0</v>
      </c>
      <c r="AJ13"/>
      <c r="AK13"/>
    </row>
    <row r="14" spans="1:136" x14ac:dyDescent="0.3">
      <c r="A14" s="244" t="s">
        <v>187</v>
      </c>
      <c r="B14" s="230"/>
      <c r="F14" s="230"/>
      <c r="H14"/>
      <c r="I14"/>
      <c r="J14" s="230"/>
      <c r="L14"/>
      <c r="M14"/>
      <c r="N14" s="230"/>
      <c r="P14"/>
      <c r="Q14"/>
      <c r="R14" s="230"/>
      <c r="T14"/>
      <c r="U14"/>
      <c r="V14" s="230"/>
      <c r="X14"/>
      <c r="Y14"/>
      <c r="Z14" s="230"/>
      <c r="AB14"/>
      <c r="AC14"/>
      <c r="AD14" s="230"/>
      <c r="AF14"/>
      <c r="AG14"/>
      <c r="AH14" s="230"/>
      <c r="AJ14"/>
      <c r="AK14"/>
    </row>
    <row r="15" spans="1:136" ht="38.4" x14ac:dyDescent="0.3">
      <c r="A15" s="252" t="s">
        <v>304</v>
      </c>
      <c r="B15" s="230"/>
      <c r="C15" s="228">
        <f>IF(B15&lt;6,B15,ROUND(((B15-5)/2)+5,0))</f>
        <v>0</v>
      </c>
      <c r="F15" s="230"/>
      <c r="G15" s="228">
        <f>IF(F15&lt;6,F15,ROUND(((F15-5)/2)+5,0))</f>
        <v>0</v>
      </c>
      <c r="H15"/>
      <c r="I15"/>
      <c r="J15" s="230"/>
      <c r="K15" s="228">
        <f>IF(J15&lt;6,J15,ROUND(((J15-5)/2)+5,0))</f>
        <v>0</v>
      </c>
      <c r="L15"/>
      <c r="M15"/>
      <c r="N15" s="230"/>
      <c r="O15" s="228">
        <f>IF(N15&lt;6,N15,ROUND(((N15-5)/2)+5,0))</f>
        <v>0</v>
      </c>
      <c r="P15"/>
      <c r="Q15"/>
      <c r="R15" s="230"/>
      <c r="S15" s="228">
        <f>IF(R15&lt;6,R15,ROUND(((R15-5)/2)+5,0))</f>
        <v>0</v>
      </c>
      <c r="T15"/>
      <c r="U15"/>
      <c r="V15" s="230"/>
      <c r="W15" s="228">
        <f>IF(V15&lt;6,V15,ROUND(((V15-5)/2)+5,0))</f>
        <v>0</v>
      </c>
      <c r="X15"/>
      <c r="Y15"/>
      <c r="Z15" s="230"/>
      <c r="AA15" s="228">
        <f>IF(Z15&lt;6,Z15,ROUND(((Z15-5)/2)+5,0))</f>
        <v>0</v>
      </c>
      <c r="AB15"/>
      <c r="AC15"/>
      <c r="AD15" s="230"/>
      <c r="AE15" s="228">
        <f>IF(AD15&lt;6,AD15,ROUND(((AD15-5)/2)+5,0))</f>
        <v>0</v>
      </c>
      <c r="AF15"/>
      <c r="AG15"/>
      <c r="AH15" s="230"/>
      <c r="AI15" s="228">
        <f>IF(AH15&lt;6,AH15,ROUND(((AH15-5)/2)+5,0))</f>
        <v>0</v>
      </c>
      <c r="AJ15"/>
      <c r="AK15"/>
    </row>
    <row r="16" spans="1:136" x14ac:dyDescent="0.3">
      <c r="A16" s="244" t="s">
        <v>168</v>
      </c>
      <c r="B16" s="230"/>
      <c r="F16" s="230"/>
      <c r="H16"/>
      <c r="I16"/>
      <c r="J16" s="230"/>
      <c r="L16"/>
      <c r="M16"/>
      <c r="N16" s="230"/>
      <c r="P16"/>
      <c r="Q16"/>
      <c r="R16" s="230"/>
      <c r="T16"/>
      <c r="U16"/>
      <c r="V16" s="230"/>
      <c r="X16"/>
      <c r="Y16"/>
      <c r="Z16" s="230"/>
      <c r="AB16"/>
      <c r="AC16"/>
      <c r="AD16" s="230"/>
      <c r="AF16"/>
      <c r="AG16"/>
      <c r="AH16" s="230"/>
      <c r="AJ16"/>
      <c r="AK16"/>
    </row>
    <row r="17" spans="1:37" x14ac:dyDescent="0.3">
      <c r="A17" s="253" t="s">
        <v>175</v>
      </c>
      <c r="B17" s="230"/>
      <c r="C17" s="381">
        <f>B17</f>
        <v>0</v>
      </c>
      <c r="F17" s="230"/>
      <c r="G17" s="228">
        <f>F17</f>
        <v>0</v>
      </c>
      <c r="H17"/>
      <c r="I17"/>
      <c r="J17" s="230"/>
      <c r="K17" s="228">
        <f>J17</f>
        <v>0</v>
      </c>
      <c r="L17"/>
      <c r="M17"/>
      <c r="N17" s="230"/>
      <c r="O17" s="228">
        <f>N17</f>
        <v>0</v>
      </c>
      <c r="P17"/>
      <c r="Q17"/>
      <c r="R17" s="230"/>
      <c r="S17" s="228">
        <f>R17</f>
        <v>0</v>
      </c>
      <c r="T17"/>
      <c r="U17"/>
      <c r="V17" s="230"/>
      <c r="W17" s="228">
        <f>V17</f>
        <v>0</v>
      </c>
      <c r="X17"/>
      <c r="Y17"/>
      <c r="Z17" s="230"/>
      <c r="AA17" s="228">
        <f>Z17</f>
        <v>0</v>
      </c>
      <c r="AB17"/>
      <c r="AC17"/>
      <c r="AD17" s="230"/>
      <c r="AE17" s="228">
        <f>AD17</f>
        <v>0</v>
      </c>
      <c r="AF17"/>
      <c r="AG17"/>
      <c r="AH17" s="230"/>
      <c r="AI17" s="228">
        <f>AH17</f>
        <v>0</v>
      </c>
      <c r="AJ17"/>
      <c r="AK17"/>
    </row>
    <row r="18" spans="1:37" x14ac:dyDescent="0.3">
      <c r="A18" s="244" t="s">
        <v>169</v>
      </c>
      <c r="B18" s="230"/>
      <c r="C18" s="381">
        <f>IF(B18="Yes",1,0)</f>
        <v>0</v>
      </c>
      <c r="F18" s="230"/>
      <c r="G18" s="228">
        <f>IF(F18="Yes",1,0)</f>
        <v>0</v>
      </c>
      <c r="H18"/>
      <c r="I18"/>
      <c r="J18" s="230"/>
      <c r="K18" s="228">
        <f>IF(J18="Yes",1,0)</f>
        <v>0</v>
      </c>
      <c r="L18"/>
      <c r="M18"/>
      <c r="N18" s="230"/>
      <c r="O18" s="228">
        <f>IF(N18="Yes",1,0)</f>
        <v>0</v>
      </c>
      <c r="P18"/>
      <c r="Q18"/>
      <c r="R18" s="230"/>
      <c r="S18" s="228">
        <f>IF(R18="Yes",1,0)</f>
        <v>0</v>
      </c>
      <c r="T18"/>
      <c r="U18"/>
      <c r="V18" s="230"/>
      <c r="W18" s="228">
        <f>IF(V18="Yes",1,0)</f>
        <v>0</v>
      </c>
      <c r="X18"/>
      <c r="Y18"/>
      <c r="Z18" s="230"/>
      <c r="AA18" s="228">
        <f>IF(Z18="Yes",1,0)</f>
        <v>0</v>
      </c>
      <c r="AB18"/>
      <c r="AC18"/>
      <c r="AD18" s="230"/>
      <c r="AE18" s="228">
        <f>IF(AD18="Yes",1,0)</f>
        <v>0</v>
      </c>
      <c r="AF18"/>
      <c r="AG18"/>
      <c r="AH18" s="230"/>
      <c r="AI18" s="228">
        <f>IF(AH18="Yes",1,0)</f>
        <v>0</v>
      </c>
      <c r="AJ18"/>
      <c r="AK18"/>
    </row>
    <row r="19" spans="1:37" ht="27.6" x14ac:dyDescent="0.3">
      <c r="A19" s="243" t="s">
        <v>170</v>
      </c>
      <c r="B19" s="230"/>
      <c r="C19" s="381">
        <f>IF(AND(B19="Yes",(C12+C13+C15+C17)&lt;3),1,IF(AND(B19="Yes",(C12+C13+C15+C17)&gt;2),2,0))</f>
        <v>0</v>
      </c>
      <c r="F19" s="230"/>
      <c r="G19" s="228">
        <f>IF(AND(F19="Yes",(G12+G13+G15+G17)&lt;3),1,IF(AND(F19="Yes",(G12+G13+G15+G17)&gt;2),2,0))</f>
        <v>0</v>
      </c>
      <c r="H19"/>
      <c r="I19"/>
      <c r="J19" s="230"/>
      <c r="K19" s="228">
        <f>IF(AND(J19="Yes",(K12+K13+K15+K17)&lt;3),1,IF(AND(J19="Yes",(K12+K13+K15+K17)&gt;2),2,0))</f>
        <v>0</v>
      </c>
      <c r="L19"/>
      <c r="M19"/>
      <c r="N19" s="230"/>
      <c r="O19" s="228">
        <f>IF(AND(N19="Yes",(O12+O13+O15+O17)&lt;3),1,IF(AND(N19="Yes",(O12+O13+O15+O17)&gt;2),2,0))</f>
        <v>0</v>
      </c>
      <c r="P19"/>
      <c r="Q19"/>
      <c r="R19" s="230"/>
      <c r="S19" s="228">
        <f>IF(AND(R19="Yes",(S12+S13+S15+S17)&lt;3),1,IF(AND(R19="Yes",(S12+S13+S15+S17)&gt;2),2,0))</f>
        <v>0</v>
      </c>
      <c r="T19"/>
      <c r="U19"/>
      <c r="V19" s="230"/>
      <c r="W19" s="228">
        <f>IF(AND(V19="Yes",(W12+W13+W15+W17)&lt;3),1,IF(AND(V19="Yes",(W12+W13+W15+W17)&gt;2),2,0))</f>
        <v>0</v>
      </c>
      <c r="X19"/>
      <c r="Y19"/>
      <c r="Z19" s="230"/>
      <c r="AA19" s="228">
        <f>IF(AND(Z19="Yes",(AA12+AA13+AA15+AA17)&lt;3),1,IF(AND(Z19="Yes",(AA12+AA13+AA15+AA17)&gt;2),2,0))</f>
        <v>0</v>
      </c>
      <c r="AB19"/>
      <c r="AC19"/>
      <c r="AD19" s="230"/>
      <c r="AE19" s="228">
        <f>IF(AND(AD19="Yes",(AE12+AE13+AE15+AE17)&lt;3),1,IF(AND(AD19="Yes",(AE12+AE13+AE15+AE17)&gt;2),2,0))</f>
        <v>0</v>
      </c>
      <c r="AF19"/>
      <c r="AG19"/>
      <c r="AH19" s="230"/>
      <c r="AI19" s="228">
        <f>IF(AND(AH19="Yes",(AI12+AI13+AI15+AI17)&lt;3),1,IF(AND(AH19="Yes",(AI12+AI13+AI15+AI17)&gt;2),2,0))</f>
        <v>0</v>
      </c>
      <c r="AJ19"/>
      <c r="AK19"/>
    </row>
    <row r="20" spans="1:37" x14ac:dyDescent="0.3">
      <c r="A20" s="244" t="s">
        <v>186</v>
      </c>
      <c r="B20" s="230"/>
      <c r="C20" s="381">
        <f>IF(B20="Yes",3,0)</f>
        <v>0</v>
      </c>
      <c r="F20" s="230"/>
      <c r="G20" s="228">
        <f>IF(F20="Yes",3,0)</f>
        <v>0</v>
      </c>
      <c r="H20"/>
      <c r="I20"/>
      <c r="J20" s="230"/>
      <c r="K20" s="228">
        <f>IF(J20="Yes",3,0)</f>
        <v>0</v>
      </c>
      <c r="L20"/>
      <c r="M20"/>
      <c r="N20" s="230"/>
      <c r="O20" s="228">
        <f>IF(N20="Yes",3,0)</f>
        <v>0</v>
      </c>
      <c r="P20"/>
      <c r="Q20"/>
      <c r="R20" s="230"/>
      <c r="S20" s="228">
        <f>IF(R20="Yes",3,0)</f>
        <v>0</v>
      </c>
      <c r="T20"/>
      <c r="U20"/>
      <c r="V20" s="230"/>
      <c r="W20" s="228">
        <f>IF(V20="Yes",3,0)</f>
        <v>0</v>
      </c>
      <c r="X20"/>
      <c r="Y20"/>
      <c r="Z20" s="230"/>
      <c r="AA20" s="228">
        <f>IF(Z20="Yes",3,0)</f>
        <v>0</v>
      </c>
      <c r="AB20"/>
      <c r="AC20"/>
      <c r="AD20" s="230"/>
      <c r="AE20" s="228">
        <f>IF(AD20="Yes",3,0)</f>
        <v>0</v>
      </c>
      <c r="AF20"/>
      <c r="AG20"/>
      <c r="AH20" s="230"/>
      <c r="AI20" s="228">
        <f>IF(AH20="Yes",3,0)</f>
        <v>0</v>
      </c>
      <c r="AJ20"/>
      <c r="AK20"/>
    </row>
    <row r="21" spans="1:37" ht="19.8" customHeight="1" x14ac:dyDescent="0.3">
      <c r="A21" s="245" t="s">
        <v>292</v>
      </c>
      <c r="B21" s="330"/>
      <c r="C21" s="382">
        <f>IF(B21="Yes",1,0)</f>
        <v>0</v>
      </c>
      <c r="D21" s="295"/>
      <c r="E21" s="295"/>
      <c r="F21" s="330"/>
      <c r="G21" s="329">
        <f>IF(F21="Yes",1,0)</f>
        <v>0</v>
      </c>
      <c r="H21" s="295"/>
      <c r="I21" s="295"/>
      <c r="J21" s="330"/>
      <c r="K21" s="329">
        <f>IF(J21="Yes",1,0)</f>
        <v>0</v>
      </c>
      <c r="L21" s="295"/>
      <c r="M21" s="295"/>
      <c r="N21" s="330"/>
      <c r="O21" s="329">
        <f>IF(N21="Yes",1,0)</f>
        <v>0</v>
      </c>
      <c r="P21" s="295"/>
      <c r="Q21" s="295"/>
      <c r="R21" s="330"/>
      <c r="S21" s="329">
        <f>IF(R21="Yes",1,0)</f>
        <v>0</v>
      </c>
      <c r="T21" s="351"/>
      <c r="U21" s="351"/>
      <c r="V21" s="330"/>
      <c r="W21" s="329">
        <f>IF(V21="Yes",1,0)</f>
        <v>0</v>
      </c>
      <c r="X21" s="351"/>
      <c r="Y21" s="351"/>
      <c r="Z21" s="330"/>
      <c r="AA21" s="329">
        <f>IF(Z21="Yes",1,0)</f>
        <v>0</v>
      </c>
      <c r="AB21" s="351"/>
      <c r="AC21" s="351"/>
      <c r="AD21" s="330"/>
      <c r="AE21" s="329">
        <f>IF(AD21="Yes",1,0)</f>
        <v>0</v>
      </c>
      <c r="AF21" s="351"/>
      <c r="AG21" s="351"/>
      <c r="AH21" s="330"/>
      <c r="AI21" s="329">
        <f>IF(AH21="Yes",1,0)</f>
        <v>0</v>
      </c>
      <c r="AJ21"/>
      <c r="AK21"/>
    </row>
    <row r="22" spans="1:37" ht="43.2" customHeight="1" x14ac:dyDescent="0.3">
      <c r="A22" s="282" t="s">
        <v>174</v>
      </c>
      <c r="B22" s="283"/>
      <c r="C22" s="383">
        <f>IF(B22="",0,1)</f>
        <v>0</v>
      </c>
      <c r="D22" s="267"/>
      <c r="E22" s="267"/>
      <c r="F22" s="283"/>
      <c r="G22" s="266">
        <f>IF(F22="",0,1)</f>
        <v>0</v>
      </c>
      <c r="H22" s="267"/>
      <c r="I22" s="267"/>
      <c r="J22" s="283"/>
      <c r="K22" s="266">
        <f>IF(J22="",0,1)</f>
        <v>0</v>
      </c>
      <c r="L22" s="267"/>
      <c r="M22" s="267"/>
      <c r="N22" s="283"/>
      <c r="O22" s="266">
        <f>IF(N22="",0,1)</f>
        <v>0</v>
      </c>
      <c r="P22" s="267"/>
      <c r="Q22" s="267"/>
      <c r="R22" s="283"/>
      <c r="S22" s="268">
        <f>IF(R22="",0,1)</f>
        <v>0</v>
      </c>
      <c r="T22" s="195"/>
      <c r="U22" s="195"/>
      <c r="V22" s="283"/>
      <c r="W22" s="268">
        <f>IF(V22="",0,1)</f>
        <v>0</v>
      </c>
      <c r="X22" s="195"/>
      <c r="Y22" s="195"/>
      <c r="Z22" s="283"/>
      <c r="AA22" s="228">
        <f>IF(Z22="",0,1)</f>
        <v>0</v>
      </c>
      <c r="AB22" s="195"/>
      <c r="AC22" s="195"/>
      <c r="AD22" s="283"/>
      <c r="AE22" s="228">
        <f>IF(AD22="",0,1)</f>
        <v>0</v>
      </c>
      <c r="AF22" s="195"/>
      <c r="AG22" s="195"/>
      <c r="AH22" s="283"/>
      <c r="AI22" s="228">
        <f>IF(AH22="",0,1)</f>
        <v>0</v>
      </c>
      <c r="AJ22"/>
      <c r="AK22"/>
    </row>
    <row r="23" spans="1:37" hidden="1" x14ac:dyDescent="0.3">
      <c r="A23" s="246"/>
      <c r="B23" s="352"/>
      <c r="C23" s="265">
        <f>C12+C15+C17+C19+C20+C22+C18+C13+C21+C4</f>
        <v>0</v>
      </c>
      <c r="D23" s="11"/>
      <c r="E23" s="11"/>
      <c r="F23" s="352"/>
      <c r="G23" s="265">
        <f>G12+G15+G17+G19+G20+G22+G18+G13+G21+G4</f>
        <v>0</v>
      </c>
      <c r="H23" s="11"/>
      <c r="I23" s="11"/>
      <c r="J23" s="352"/>
      <c r="K23" s="265">
        <f>K12+K15+K17+K19+K20+K22+K18+K13+K21+K4</f>
        <v>0</v>
      </c>
      <c r="L23"/>
      <c r="M23"/>
      <c r="N23" s="352"/>
      <c r="O23" s="265">
        <f>O12+O15+O17+O19+O20+O22+O18+O13+O21+O4</f>
        <v>0</v>
      </c>
      <c r="P23"/>
      <c r="Q23"/>
      <c r="R23" s="352"/>
      <c r="S23" s="265">
        <f>S12+S15+S17+S19+S20+S22+S18+S13+S21+S4</f>
        <v>0</v>
      </c>
      <c r="T23"/>
      <c r="U23"/>
      <c r="V23" s="352"/>
      <c r="W23" s="265">
        <f>W12+W15+W17+W19+W20+W22+W18+W13+W21+W4</f>
        <v>0</v>
      </c>
      <c r="X23"/>
      <c r="Y23"/>
      <c r="Z23" s="352"/>
      <c r="AA23" s="265">
        <f>AA12+AA15+AA17+AA19+AA20+AA22+AA18+AA13+AA21+AA4</f>
        <v>0</v>
      </c>
      <c r="AB23"/>
      <c r="AC23"/>
      <c r="AD23" s="352"/>
      <c r="AE23" s="265">
        <f>AE12+AE15+AE17+AE19+AE20+AE22+AE18+AE13+AE21+AE4</f>
        <v>0</v>
      </c>
      <c r="AF23"/>
      <c r="AG23"/>
      <c r="AH23" s="352"/>
      <c r="AI23" s="265">
        <f>AI12+AI15+AI17+AI19+AI20+AI22+AI18+AI13+AI21+AI4</f>
        <v>0</v>
      </c>
      <c r="AJ23"/>
      <c r="AK23"/>
    </row>
    <row r="24" spans="1:37" hidden="1" x14ac:dyDescent="0.3">
      <c r="A24" s="247"/>
      <c r="B24" s="232"/>
      <c r="F24" s="238"/>
      <c r="J24" s="229"/>
      <c r="N24" s="116"/>
      <c r="R24" s="116"/>
      <c r="V24" s="116"/>
      <c r="Z24" s="116"/>
      <c r="AD24" s="116"/>
      <c r="AH24" s="116"/>
    </row>
    <row r="25" spans="1:37" hidden="1" x14ac:dyDescent="0.3">
      <c r="A25" s="248"/>
      <c r="B25" s="235"/>
      <c r="F25" s="239"/>
      <c r="J25" s="229"/>
      <c r="N25" s="116"/>
      <c r="R25" s="116"/>
      <c r="V25" s="116"/>
      <c r="Z25" s="116"/>
      <c r="AD25" s="116"/>
      <c r="AH25" s="116"/>
    </row>
    <row r="26" spans="1:37" hidden="1" x14ac:dyDescent="0.3">
      <c r="A26" s="249"/>
      <c r="B26" s="233"/>
      <c r="F26" s="239"/>
      <c r="J26" s="229"/>
      <c r="N26" s="116"/>
      <c r="R26" s="116"/>
      <c r="V26" s="116"/>
      <c r="Z26" s="116"/>
      <c r="AD26" s="116"/>
      <c r="AH26" s="116"/>
    </row>
    <row r="27" spans="1:37" hidden="1" x14ac:dyDescent="0.3">
      <c r="A27" s="250"/>
      <c r="B27" s="236"/>
      <c r="F27" s="239"/>
      <c r="J27" s="229"/>
      <c r="N27" s="116"/>
      <c r="R27" s="116"/>
      <c r="V27" s="116"/>
      <c r="Z27" s="116"/>
      <c r="AD27" s="116"/>
      <c r="AH27" s="116"/>
    </row>
    <row r="28" spans="1:37" hidden="1" x14ac:dyDescent="0.3">
      <c r="A28" s="250"/>
      <c r="B28" s="236"/>
      <c r="F28" s="239"/>
      <c r="J28" s="229"/>
      <c r="N28" s="116"/>
      <c r="R28" s="116"/>
      <c r="V28" s="116"/>
      <c r="Z28" s="116"/>
      <c r="AD28" s="116"/>
      <c r="AH28" s="116"/>
    </row>
    <row r="29" spans="1:37" hidden="1" x14ac:dyDescent="0.3">
      <c r="A29" s="250"/>
      <c r="B29" s="236"/>
      <c r="F29" s="239"/>
      <c r="J29" s="229"/>
      <c r="N29" s="116"/>
      <c r="R29" s="116"/>
      <c r="V29" s="116"/>
      <c r="Z29" s="116"/>
      <c r="AD29" s="116"/>
      <c r="AH29" s="116"/>
    </row>
    <row r="30" spans="1:37" hidden="1" x14ac:dyDescent="0.3">
      <c r="A30" s="250"/>
      <c r="B30" s="236"/>
      <c r="F30" s="239"/>
      <c r="J30" s="229"/>
      <c r="N30" s="116"/>
      <c r="R30" s="116"/>
      <c r="V30" s="116"/>
      <c r="Z30" s="116"/>
      <c r="AD30" s="116"/>
      <c r="AH30" s="116"/>
    </row>
    <row r="31" spans="1:37" hidden="1" x14ac:dyDescent="0.3">
      <c r="A31" s="250"/>
      <c r="B31" s="236"/>
      <c r="F31" s="239"/>
      <c r="J31" s="229"/>
      <c r="N31" s="116"/>
      <c r="R31" s="116"/>
      <c r="V31" s="116"/>
      <c r="Z31" s="116"/>
      <c r="AD31" s="116"/>
      <c r="AH31" s="116"/>
    </row>
    <row r="32" spans="1:37" hidden="1" x14ac:dyDescent="0.3">
      <c r="A32" s="250"/>
      <c r="B32" s="236"/>
      <c r="F32" s="239"/>
      <c r="J32" s="229"/>
      <c r="N32" s="116"/>
      <c r="R32" s="116"/>
      <c r="V32" s="116"/>
      <c r="Z32" s="116"/>
      <c r="AD32" s="116"/>
      <c r="AH32" s="116"/>
    </row>
    <row r="33" spans="1:38" hidden="1" x14ac:dyDescent="0.3">
      <c r="A33" s="250"/>
      <c r="B33" s="236"/>
      <c r="F33" s="239"/>
      <c r="J33" s="229"/>
      <c r="N33" s="116"/>
      <c r="R33" s="116"/>
      <c r="V33" s="116"/>
      <c r="Z33" s="116"/>
      <c r="AD33" s="116"/>
      <c r="AH33" s="116"/>
    </row>
    <row r="34" spans="1:38" hidden="1" x14ac:dyDescent="0.3">
      <c r="A34" s="250"/>
      <c r="B34" s="236"/>
      <c r="F34" s="239"/>
      <c r="J34" s="229"/>
      <c r="N34" s="116"/>
      <c r="R34" s="116"/>
      <c r="V34" s="116"/>
      <c r="Z34" s="116"/>
      <c r="AD34" s="116"/>
      <c r="AH34" s="116"/>
    </row>
    <row r="35" spans="1:38" hidden="1" x14ac:dyDescent="0.3">
      <c r="A35" s="250"/>
      <c r="B35" s="236"/>
      <c r="F35" s="239"/>
      <c r="J35" s="229"/>
      <c r="N35" s="116"/>
      <c r="R35" s="116"/>
      <c r="V35" s="116"/>
      <c r="Z35" s="116"/>
      <c r="AD35" s="116"/>
      <c r="AH35" s="116"/>
    </row>
    <row r="36" spans="1:38" hidden="1" x14ac:dyDescent="0.3">
      <c r="A36" s="250"/>
      <c r="B36" s="236"/>
      <c r="F36" s="239"/>
      <c r="J36" s="229"/>
      <c r="N36" s="116"/>
      <c r="R36" s="116"/>
      <c r="V36" s="116"/>
      <c r="Z36" s="116"/>
      <c r="AD36" s="116"/>
      <c r="AH36" s="116"/>
    </row>
    <row r="37" spans="1:38" hidden="1" x14ac:dyDescent="0.3">
      <c r="A37" s="251"/>
      <c r="B37" s="237"/>
      <c r="F37" s="240"/>
      <c r="J37" s="242"/>
      <c r="N37" s="118"/>
      <c r="R37" s="118"/>
      <c r="V37" s="118"/>
      <c r="Z37" s="118"/>
      <c r="AD37" s="118"/>
      <c r="AH37" s="118"/>
    </row>
    <row r="38" spans="1:38" hidden="1" x14ac:dyDescent="0.3">
      <c r="A38" s="353"/>
      <c r="B38" s="353" t="str">
        <f>IF(C8=1,"",CONCATENATE(VLOOKUP(1,C5:E11,2,FALSE)," - ",VLOOKUP(1,C5:E11,3,FALSE)))</f>
        <v/>
      </c>
      <c r="C38" s="94"/>
      <c r="F38" s="231" t="str">
        <f>IF(G8=1,"",CONCATENATE(VLOOKUP(1,G5:I11,2,FALSE)," - ",VLOOKUP(1,G5:I11,3,FALSE)))</f>
        <v/>
      </c>
      <c r="J38" s="231" t="str">
        <f>IF(K8=1,"",CONCATENATE(VLOOKUP(1,K5:M11,2,FALSE)," - ",VLOOKUP(1,K5:M11,3,FALSE)))</f>
        <v/>
      </c>
      <c r="N38" s="231" t="str">
        <f>IF(O8=1,"",CONCATENATE(VLOOKUP(1,O5:Q11,2,FALSE)," - ",VLOOKUP(1,O5:Q11,3,FALSE)))</f>
        <v/>
      </c>
      <c r="R38" s="231" t="str">
        <f>IF(S8=1,"",CONCATENATE(VLOOKUP(1,S5:U11,2,FALSE)," - ",VLOOKUP(1,S5:U11,3,FALSE)))</f>
        <v/>
      </c>
      <c r="V38" s="231" t="str">
        <f>IF(W8=1,"",CONCATENATE(VLOOKUP(1,W5:Y11,2,FALSE)," - ",VLOOKUP(1,W5:Y11,3,FALSE)))</f>
        <v/>
      </c>
      <c r="Z38" s="231" t="str">
        <f>IF(AA8=1,"",CONCATENATE(VLOOKUP(1,AA5:AC11,2,FALSE)," - ",VLOOKUP(1,AA5:AC11,3,FALSE)))</f>
        <v/>
      </c>
      <c r="AD38" s="231" t="str">
        <f>IF(AE8=1,"",CONCATENATE(VLOOKUP(1,AE5:AG11,2,FALSE)," - ",VLOOKUP(1,AE5:AG11,3,FALSE)))</f>
        <v/>
      </c>
      <c r="AH38" s="231" t="str">
        <f>IF(AI8=1,"",CONCATENATE(VLOOKUP(1,AI5:AK11,2,FALSE)," - ",VLOOKUP(1,AI5:AK11,3,FALSE)))</f>
        <v/>
      </c>
    </row>
    <row r="39" spans="1:38" hidden="1" x14ac:dyDescent="0.3">
      <c r="B39" s="11" t="s">
        <v>156</v>
      </c>
      <c r="C39" s="285" t="str">
        <f>IF(D5="Rx",E8,IF(D9="Sterile Prep",C23,IF(D11="Sterile Prep",C23,"")))</f>
        <v/>
      </c>
      <c r="F39" s="66" t="s">
        <v>156</v>
      </c>
      <c r="G39" s="285" t="str">
        <f>IF(H5="Rx",I8,IF(H9="Sterile Prep",G23,IF(H11="Sterile Prep",G23,"")))</f>
        <v/>
      </c>
      <c r="J39" s="66" t="s">
        <v>156</v>
      </c>
      <c r="K39" s="285" t="str">
        <f>IF(L5="Rx",M8,IF(L9="Sterile Prep",K23,IF(L11="Sterile Prep",K23,"")))</f>
        <v/>
      </c>
      <c r="N39" s="66" t="s">
        <v>156</v>
      </c>
      <c r="O39" s="285" t="str">
        <f>IF(P5="Rx",Q8,IF(P9="Sterile Prep",O23,IF(P11="Sterile Prep",O23,"")))</f>
        <v/>
      </c>
      <c r="R39" s="66" t="s">
        <v>156</v>
      </c>
      <c r="S39" s="285" t="str">
        <f>IF(T5="Rx",U8,IF(T9="Sterile Prep",S23,IF(T11="Sterile Prep",S23,"")))</f>
        <v/>
      </c>
      <c r="V39" s="66" t="s">
        <v>156</v>
      </c>
      <c r="W39" s="285" t="str">
        <f>IF(X5="Rx",Y8,IF(X9="Sterile Prep",W23,IF(X11="Sterile Prep",W23,"")))</f>
        <v/>
      </c>
      <c r="Z39" s="66" t="s">
        <v>156</v>
      </c>
      <c r="AA39" s="285" t="str">
        <f>IF(AB5="Rx",AC8,IF(AB9="Sterile Prep",AA23,IF(AB11="Sterile Prep",AA23,"")))</f>
        <v/>
      </c>
      <c r="AD39" s="66" t="s">
        <v>156</v>
      </c>
      <c r="AE39" s="285" t="str">
        <f>IF(AF5="Rx",AG8,IF(AF9="Sterile Prep",AE23,IF(AF11="Sterile Prep",AE23,"")))</f>
        <v/>
      </c>
      <c r="AH39" s="66" t="s">
        <v>156</v>
      </c>
      <c r="AI39" s="285" t="str">
        <f>IF(AJ5="Rx",AK8,IF(AJ9="Sterile Prep",AI23,IF(AJ11="Sterile Prep",AI23,"")))</f>
        <v/>
      </c>
    </row>
    <row r="40" spans="1:38" ht="62.4" customHeight="1" x14ac:dyDescent="0.3">
      <c r="A40" s="360" t="s">
        <v>185</v>
      </c>
      <c r="B40" s="415" t="str">
        <f>IF(Dispensing!B40="","",Dispensing!B40)</f>
        <v/>
      </c>
      <c r="C40" s="378"/>
      <c r="D40" s="378"/>
      <c r="E40" s="378"/>
      <c r="F40" s="416" t="str">
        <f>IF(Dispensing!F40="","",Dispensing!F40)</f>
        <v/>
      </c>
      <c r="G40" s="378"/>
      <c r="H40" s="378"/>
      <c r="I40" s="378"/>
      <c r="J40" s="416" t="str">
        <f>IF(Dispensing!J40="","",Dispensing!J40)</f>
        <v/>
      </c>
      <c r="K40" s="378"/>
      <c r="L40" s="378"/>
      <c r="M40" s="378"/>
      <c r="N40" s="416" t="str">
        <f>IF(Dispensing!N40="","",Dispensing!N40)</f>
        <v/>
      </c>
      <c r="O40" s="378"/>
      <c r="P40" s="378"/>
      <c r="Q40" s="378"/>
      <c r="R40" s="416" t="str">
        <f>IF(Dispensing!R40="","",Dispensing!R40)</f>
        <v/>
      </c>
      <c r="S40" s="378"/>
      <c r="T40" s="378"/>
      <c r="U40" s="378"/>
      <c r="V40" s="416" t="str">
        <f>IF(Dispensing!V40="","",Dispensing!V40)</f>
        <v/>
      </c>
      <c r="W40" s="378"/>
      <c r="X40" s="378"/>
      <c r="Y40" s="378"/>
      <c r="Z40" s="416" t="str">
        <f>IF(Dispensing!Z40="","",Dispensing!Z40)</f>
        <v/>
      </c>
      <c r="AA40" s="378"/>
      <c r="AB40" s="378"/>
      <c r="AC40" s="378"/>
      <c r="AD40" s="416" t="str">
        <f>IF(Dispensing!AD40="","",Dispensing!AD40)</f>
        <v/>
      </c>
      <c r="AE40" s="378"/>
      <c r="AF40" s="378"/>
      <c r="AG40" s="378"/>
      <c r="AH40" s="417" t="str">
        <f>IF(Dispensing!AH40="","",Dispensing!AH40)</f>
        <v/>
      </c>
      <c r="AI40" s="94"/>
      <c r="AJ40" s="94"/>
      <c r="AK40" s="94"/>
      <c r="AL40" s="94"/>
    </row>
    <row r="41" spans="1:38" ht="27.6" x14ac:dyDescent="0.3">
      <c r="A41" s="344"/>
      <c r="B41" s="134" t="s">
        <v>291</v>
      </c>
      <c r="C41" s="265"/>
      <c r="D41" s="11"/>
      <c r="E41" s="11"/>
      <c r="F41" s="134" t="s">
        <v>291</v>
      </c>
      <c r="G41" s="362"/>
      <c r="H41" s="363"/>
      <c r="I41" s="363"/>
      <c r="J41" s="134" t="s">
        <v>291</v>
      </c>
      <c r="K41" s="362"/>
      <c r="L41" s="364"/>
      <c r="M41" s="364"/>
      <c r="N41" s="134" t="s">
        <v>291</v>
      </c>
      <c r="O41" s="362"/>
      <c r="P41" s="364"/>
      <c r="Q41" s="364"/>
      <c r="R41" s="134" t="s">
        <v>291</v>
      </c>
      <c r="S41" s="362"/>
      <c r="T41" s="364"/>
      <c r="U41" s="364"/>
      <c r="V41" s="134" t="s">
        <v>291</v>
      </c>
      <c r="W41" s="362"/>
      <c r="X41" s="364"/>
      <c r="Y41" s="364"/>
      <c r="Z41" s="134" t="s">
        <v>291</v>
      </c>
      <c r="AA41" s="362"/>
      <c r="AB41" s="364"/>
      <c r="AC41" s="364"/>
      <c r="AD41" s="134" t="s">
        <v>291</v>
      </c>
      <c r="AE41" s="362"/>
      <c r="AF41" s="364"/>
      <c r="AG41" s="364"/>
      <c r="AH41" s="134" t="s">
        <v>291</v>
      </c>
    </row>
    <row r="42" spans="1:38" x14ac:dyDescent="0.3">
      <c r="A42" s="331"/>
      <c r="B42" s="418" t="str">
        <f>IF(Dispensing!B42="","",Dispensing!B42)</f>
        <v/>
      </c>
      <c r="F42" s="423" t="str">
        <f>IF(Dispensing!F42="","",Dispensing!F42)</f>
        <v/>
      </c>
      <c r="G42" s="225"/>
      <c r="H42" s="225"/>
      <c r="I42" s="225"/>
      <c r="J42" s="426" t="str">
        <f>IF(Dispensing!J42="","",Dispensing!J42)</f>
        <v/>
      </c>
      <c r="K42" s="225"/>
      <c r="L42" s="225"/>
      <c r="M42" s="225"/>
      <c r="N42" s="428" t="str">
        <f>IF(Dispensing!N42="","",Dispensing!N42)</f>
        <v/>
      </c>
      <c r="O42" s="225"/>
      <c r="P42" s="225"/>
      <c r="Q42" s="225"/>
      <c r="R42" s="428" t="str">
        <f>IF(Dispensing!R42="","",Dispensing!R42)</f>
        <v/>
      </c>
      <c r="S42" s="225"/>
      <c r="T42" s="225"/>
      <c r="U42" s="225"/>
      <c r="V42" s="428" t="str">
        <f>IF(Dispensing!V42="","",Dispensing!V42)</f>
        <v/>
      </c>
      <c r="W42" s="225"/>
      <c r="X42" s="225"/>
      <c r="Y42" s="225"/>
      <c r="Z42" s="428" t="str">
        <f>IF(Dispensing!Z42="","",Dispensing!Z42)</f>
        <v/>
      </c>
      <c r="AA42" s="225"/>
      <c r="AB42" s="225"/>
      <c r="AC42" s="225"/>
      <c r="AD42" s="428" t="str">
        <f>IF(Dispensing!AD42="","",Dispensing!AD42)</f>
        <v/>
      </c>
      <c r="AE42" s="225"/>
      <c r="AF42" s="225"/>
      <c r="AG42" s="225"/>
      <c r="AH42" s="428" t="str">
        <f>IF(Dispensing!AH42="","",Dispensing!AH42)</f>
        <v/>
      </c>
    </row>
    <row r="43" spans="1:38" x14ac:dyDescent="0.3">
      <c r="A43" s="332"/>
      <c r="B43" s="419" t="str">
        <f>IF(Dispensing!B43="","",Dispensing!B43)</f>
        <v/>
      </c>
      <c r="F43" s="424" t="str">
        <f>IF(Dispensing!F43="","",Dispensing!F43)</f>
        <v/>
      </c>
      <c r="G43" s="225"/>
      <c r="H43" s="225"/>
      <c r="I43" s="225"/>
      <c r="J43" s="426" t="str">
        <f>IF(Dispensing!J43="","",Dispensing!J43)</f>
        <v/>
      </c>
      <c r="K43" s="225"/>
      <c r="L43" s="225"/>
      <c r="M43" s="225"/>
      <c r="N43" s="428" t="str">
        <f>IF(Dispensing!N43="","",Dispensing!N43)</f>
        <v/>
      </c>
      <c r="O43" s="225"/>
      <c r="P43" s="225"/>
      <c r="Q43" s="225"/>
      <c r="R43" s="428" t="str">
        <f>IF(Dispensing!R43="","",Dispensing!R43)</f>
        <v/>
      </c>
      <c r="S43" s="225"/>
      <c r="T43" s="225"/>
      <c r="U43" s="225"/>
      <c r="V43" s="428" t="str">
        <f>IF(Dispensing!V43="","",Dispensing!V43)</f>
        <v/>
      </c>
      <c r="W43" s="225"/>
      <c r="X43" s="225"/>
      <c r="Y43" s="225"/>
      <c r="Z43" s="428" t="str">
        <f>IF(Dispensing!Z43="","",Dispensing!Z43)</f>
        <v/>
      </c>
      <c r="AA43" s="225"/>
      <c r="AB43" s="225"/>
      <c r="AC43" s="225"/>
      <c r="AD43" s="428" t="str">
        <f>IF(Dispensing!AD43="","",Dispensing!AD43)</f>
        <v/>
      </c>
      <c r="AE43" s="225"/>
      <c r="AF43" s="225"/>
      <c r="AG43" s="225"/>
      <c r="AH43" s="428" t="str">
        <f>IF(Dispensing!AH43="","",Dispensing!AH43)</f>
        <v/>
      </c>
    </row>
    <row r="44" spans="1:38" x14ac:dyDescent="0.3">
      <c r="A44" s="333"/>
      <c r="B44" s="420" t="str">
        <f>IF(Dispensing!B44="","",Dispensing!B44)</f>
        <v/>
      </c>
      <c r="F44" s="424" t="str">
        <f>IF(Dispensing!F44="","",Dispensing!F44)</f>
        <v/>
      </c>
      <c r="G44" s="225"/>
      <c r="H44" s="225"/>
      <c r="I44" s="225"/>
      <c r="J44" s="426" t="str">
        <f>IF(Dispensing!J44="","",Dispensing!J44)</f>
        <v/>
      </c>
      <c r="K44" s="225"/>
      <c r="L44" s="225"/>
      <c r="M44" s="225"/>
      <c r="N44" s="428" t="str">
        <f>IF(Dispensing!N44="","",Dispensing!N44)</f>
        <v/>
      </c>
      <c r="O44" s="225"/>
      <c r="P44" s="225"/>
      <c r="Q44" s="225"/>
      <c r="R44" s="428" t="str">
        <f>IF(Dispensing!R44="","",Dispensing!R44)</f>
        <v/>
      </c>
      <c r="S44" s="225"/>
      <c r="T44" s="225"/>
      <c r="U44" s="225"/>
      <c r="V44" s="428" t="str">
        <f>IF(Dispensing!V44="","",Dispensing!V44)</f>
        <v/>
      </c>
      <c r="W44" s="225"/>
      <c r="X44" s="225"/>
      <c r="Y44" s="225"/>
      <c r="Z44" s="428" t="str">
        <f>IF(Dispensing!Z44="","",Dispensing!Z44)</f>
        <v/>
      </c>
      <c r="AA44" s="225"/>
      <c r="AB44" s="225"/>
      <c r="AC44" s="225"/>
      <c r="AD44" s="428" t="str">
        <f>IF(Dispensing!AD44="","",Dispensing!AD44)</f>
        <v/>
      </c>
      <c r="AE44" s="225"/>
      <c r="AF44" s="225"/>
      <c r="AG44" s="225"/>
      <c r="AH44" s="428" t="str">
        <f>IF(Dispensing!AH44="","",Dispensing!AH44)</f>
        <v/>
      </c>
    </row>
    <row r="45" spans="1:38" x14ac:dyDescent="0.3">
      <c r="A45" s="334"/>
      <c r="B45" s="421" t="str">
        <f>IF(Dispensing!B45="","",Dispensing!B45)</f>
        <v/>
      </c>
      <c r="F45" s="424" t="str">
        <f>IF(Dispensing!F45="","",Dispensing!F45)</f>
        <v/>
      </c>
      <c r="G45" s="225"/>
      <c r="H45" s="225"/>
      <c r="I45" s="225"/>
      <c r="J45" s="426" t="str">
        <f>IF(Dispensing!J45="","",Dispensing!J45)</f>
        <v/>
      </c>
      <c r="K45" s="225"/>
      <c r="L45" s="225"/>
      <c r="M45" s="225"/>
      <c r="N45" s="428" t="str">
        <f>IF(Dispensing!N45="","",Dispensing!N45)</f>
        <v/>
      </c>
      <c r="O45" s="225"/>
      <c r="P45" s="225"/>
      <c r="Q45" s="225"/>
      <c r="R45" s="428" t="str">
        <f>IF(Dispensing!R45="","",Dispensing!R45)</f>
        <v/>
      </c>
      <c r="S45" s="225"/>
      <c r="T45" s="225"/>
      <c r="U45" s="225"/>
      <c r="V45" s="428" t="str">
        <f>IF(Dispensing!V45="","",Dispensing!V45)</f>
        <v/>
      </c>
      <c r="W45" s="225"/>
      <c r="X45" s="225"/>
      <c r="Y45" s="225"/>
      <c r="Z45" s="428" t="str">
        <f>IF(Dispensing!Z45="","",Dispensing!Z45)</f>
        <v/>
      </c>
      <c r="AA45" s="225"/>
      <c r="AB45" s="225"/>
      <c r="AC45" s="225"/>
      <c r="AD45" s="428" t="str">
        <f>IF(Dispensing!AD45="","",Dispensing!AD45)</f>
        <v/>
      </c>
      <c r="AE45" s="225"/>
      <c r="AF45" s="225"/>
      <c r="AG45" s="225"/>
      <c r="AH45" s="428" t="str">
        <f>IF(Dispensing!AH45="","",Dispensing!AH45)</f>
        <v/>
      </c>
    </row>
    <row r="46" spans="1:38" x14ac:dyDescent="0.3">
      <c r="A46" s="334"/>
      <c r="B46" s="421" t="str">
        <f>IF(Dispensing!B46="","",Dispensing!B46)</f>
        <v/>
      </c>
      <c r="F46" s="424" t="str">
        <f>IF(Dispensing!F46="","",Dispensing!F46)</f>
        <v/>
      </c>
      <c r="G46" s="225"/>
      <c r="H46" s="225"/>
      <c r="I46" s="225"/>
      <c r="J46" s="426" t="str">
        <f>IF(Dispensing!J46="","",Dispensing!J46)</f>
        <v/>
      </c>
      <c r="K46" s="225"/>
      <c r="L46" s="225"/>
      <c r="M46" s="225"/>
      <c r="N46" s="428" t="str">
        <f>IF(Dispensing!N46="","",Dispensing!N46)</f>
        <v/>
      </c>
      <c r="O46" s="225"/>
      <c r="P46" s="225"/>
      <c r="Q46" s="225"/>
      <c r="R46" s="428" t="str">
        <f>IF(Dispensing!R46="","",Dispensing!R46)</f>
        <v/>
      </c>
      <c r="S46" s="225"/>
      <c r="T46" s="225"/>
      <c r="U46" s="225"/>
      <c r="V46" s="428" t="str">
        <f>IF(Dispensing!V46="","",Dispensing!V46)</f>
        <v/>
      </c>
      <c r="W46" s="225"/>
      <c r="X46" s="225"/>
      <c r="Y46" s="225"/>
      <c r="Z46" s="428" t="str">
        <f>IF(Dispensing!Z46="","",Dispensing!Z46)</f>
        <v/>
      </c>
      <c r="AA46" s="225"/>
      <c r="AB46" s="225"/>
      <c r="AC46" s="225"/>
      <c r="AD46" s="428" t="str">
        <f>IF(Dispensing!AD46="","",Dispensing!AD46)</f>
        <v/>
      </c>
      <c r="AE46" s="225"/>
      <c r="AF46" s="225"/>
      <c r="AG46" s="225"/>
      <c r="AH46" s="428" t="str">
        <f>IF(Dispensing!AH46="","",Dispensing!AH46)</f>
        <v/>
      </c>
    </row>
    <row r="47" spans="1:38" x14ac:dyDescent="0.3">
      <c r="A47" s="334"/>
      <c r="B47" s="421" t="str">
        <f>IF(Dispensing!B47="","",Dispensing!B47)</f>
        <v/>
      </c>
      <c r="F47" s="424" t="str">
        <f>IF(Dispensing!F47="","",Dispensing!F47)</f>
        <v/>
      </c>
      <c r="G47" s="225"/>
      <c r="H47" s="225"/>
      <c r="I47" s="225"/>
      <c r="J47" s="426" t="str">
        <f>IF(Dispensing!J47="","",Dispensing!J47)</f>
        <v/>
      </c>
      <c r="K47" s="225"/>
      <c r="L47" s="225"/>
      <c r="M47" s="225"/>
      <c r="N47" s="428" t="str">
        <f>IF(Dispensing!N47="","",Dispensing!N47)</f>
        <v/>
      </c>
      <c r="O47" s="225"/>
      <c r="P47" s="225"/>
      <c r="Q47" s="225"/>
      <c r="R47" s="428" t="str">
        <f>IF(Dispensing!R47="","",Dispensing!R47)</f>
        <v/>
      </c>
      <c r="S47" s="225"/>
      <c r="T47" s="225"/>
      <c r="U47" s="225"/>
      <c r="V47" s="428" t="str">
        <f>IF(Dispensing!V47="","",Dispensing!V47)</f>
        <v/>
      </c>
      <c r="W47" s="225"/>
      <c r="X47" s="225"/>
      <c r="Y47" s="225"/>
      <c r="Z47" s="428" t="str">
        <f>IF(Dispensing!Z47="","",Dispensing!Z47)</f>
        <v/>
      </c>
      <c r="AA47" s="225"/>
      <c r="AB47" s="225"/>
      <c r="AC47" s="225"/>
      <c r="AD47" s="428" t="str">
        <f>IF(Dispensing!AD47="","",Dispensing!AD47)</f>
        <v/>
      </c>
      <c r="AE47" s="225"/>
      <c r="AF47" s="225"/>
      <c r="AG47" s="225"/>
      <c r="AH47" s="428" t="str">
        <f>IF(Dispensing!AH47="","",Dispensing!AH47)</f>
        <v/>
      </c>
    </row>
    <row r="48" spans="1:38" x14ac:dyDescent="0.3">
      <c r="A48" s="334"/>
      <c r="B48" s="421" t="str">
        <f>IF(Dispensing!B48="","",Dispensing!B48)</f>
        <v/>
      </c>
      <c r="F48" s="424" t="str">
        <f>IF(Dispensing!F48="","",Dispensing!F48)</f>
        <v/>
      </c>
      <c r="G48" s="225"/>
      <c r="H48" s="225"/>
      <c r="I48" s="225"/>
      <c r="J48" s="426" t="str">
        <f>IF(Dispensing!J48="","",Dispensing!J48)</f>
        <v/>
      </c>
      <c r="K48" s="225"/>
      <c r="L48" s="225"/>
      <c r="M48" s="225"/>
      <c r="N48" s="428" t="str">
        <f>IF(Dispensing!N48="","",Dispensing!N48)</f>
        <v/>
      </c>
      <c r="O48" s="225"/>
      <c r="P48" s="225"/>
      <c r="Q48" s="225"/>
      <c r="R48" s="428" t="str">
        <f>IF(Dispensing!R48="","",Dispensing!R48)</f>
        <v/>
      </c>
      <c r="S48" s="225"/>
      <c r="T48" s="225"/>
      <c r="U48" s="225"/>
      <c r="V48" s="428" t="str">
        <f>IF(Dispensing!V48="","",Dispensing!V48)</f>
        <v/>
      </c>
      <c r="W48" s="225"/>
      <c r="X48" s="225"/>
      <c r="Y48" s="225"/>
      <c r="Z48" s="428" t="str">
        <f>IF(Dispensing!Z48="","",Dispensing!Z48)</f>
        <v/>
      </c>
      <c r="AA48" s="225"/>
      <c r="AB48" s="225"/>
      <c r="AC48" s="225"/>
      <c r="AD48" s="428" t="str">
        <f>IF(Dispensing!AD48="","",Dispensing!AD48)</f>
        <v/>
      </c>
      <c r="AE48" s="225"/>
      <c r="AF48" s="225"/>
      <c r="AG48" s="225"/>
      <c r="AH48" s="428" t="str">
        <f>IF(Dispensing!AH48="","",Dispensing!AH48)</f>
        <v/>
      </c>
    </row>
    <row r="49" spans="1:37" x14ac:dyDescent="0.3">
      <c r="A49" s="334"/>
      <c r="B49" s="421" t="str">
        <f>IF(Dispensing!B49="","",Dispensing!B49)</f>
        <v/>
      </c>
      <c r="F49" s="424" t="str">
        <f>IF(Dispensing!F49="","",Dispensing!F49)</f>
        <v/>
      </c>
      <c r="G49" s="225"/>
      <c r="H49" s="225"/>
      <c r="I49" s="225"/>
      <c r="J49" s="426" t="str">
        <f>IF(Dispensing!J49="","",Dispensing!J49)</f>
        <v/>
      </c>
      <c r="K49" s="225"/>
      <c r="L49" s="225"/>
      <c r="M49" s="225"/>
      <c r="N49" s="428" t="str">
        <f>IF(Dispensing!N49="","",Dispensing!N49)</f>
        <v/>
      </c>
      <c r="O49" s="225"/>
      <c r="P49" s="225"/>
      <c r="Q49" s="225"/>
      <c r="R49" s="428" t="str">
        <f>IF(Dispensing!R49="","",Dispensing!R49)</f>
        <v/>
      </c>
      <c r="S49" s="225"/>
      <c r="T49" s="225"/>
      <c r="U49" s="225"/>
      <c r="V49" s="428" t="str">
        <f>IF(Dispensing!V49="","",Dispensing!V49)</f>
        <v/>
      </c>
      <c r="W49" s="225"/>
      <c r="X49" s="225"/>
      <c r="Y49" s="225"/>
      <c r="Z49" s="428" t="str">
        <f>IF(Dispensing!Z49="","",Dispensing!Z49)</f>
        <v/>
      </c>
      <c r="AA49" s="225"/>
      <c r="AB49" s="225"/>
      <c r="AC49" s="225"/>
      <c r="AD49" s="428" t="str">
        <f>IF(Dispensing!AD49="","",Dispensing!AD49)</f>
        <v/>
      </c>
      <c r="AE49" s="225"/>
      <c r="AF49" s="225"/>
      <c r="AG49" s="225"/>
      <c r="AH49" s="428" t="str">
        <f>IF(Dispensing!AH49="","",Dispensing!AH49)</f>
        <v/>
      </c>
    </row>
    <row r="50" spans="1:37" x14ac:dyDescent="0.3">
      <c r="A50" s="334"/>
      <c r="B50" s="421" t="str">
        <f>IF(Dispensing!B50="","",Dispensing!B50)</f>
        <v/>
      </c>
      <c r="F50" s="424" t="str">
        <f>IF(Dispensing!F50="","",Dispensing!F50)</f>
        <v/>
      </c>
      <c r="G50" s="225"/>
      <c r="H50" s="225"/>
      <c r="I50" s="225"/>
      <c r="J50" s="426" t="str">
        <f>IF(Dispensing!J50="","",Dispensing!J50)</f>
        <v/>
      </c>
      <c r="K50" s="225"/>
      <c r="L50" s="225"/>
      <c r="M50" s="225"/>
      <c r="N50" s="428" t="str">
        <f>IF(Dispensing!N50="","",Dispensing!N50)</f>
        <v/>
      </c>
      <c r="O50" s="225"/>
      <c r="P50" s="225"/>
      <c r="Q50" s="225"/>
      <c r="R50" s="428" t="str">
        <f>IF(Dispensing!R50="","",Dispensing!R50)</f>
        <v/>
      </c>
      <c r="S50" s="225"/>
      <c r="T50" s="225"/>
      <c r="U50" s="225"/>
      <c r="V50" s="428" t="str">
        <f>IF(Dispensing!V50="","",Dispensing!V50)</f>
        <v/>
      </c>
      <c r="W50" s="225"/>
      <c r="X50" s="225"/>
      <c r="Y50" s="225"/>
      <c r="Z50" s="428" t="str">
        <f>IF(Dispensing!Z50="","",Dispensing!Z50)</f>
        <v/>
      </c>
      <c r="AA50" s="225"/>
      <c r="AB50" s="225"/>
      <c r="AC50" s="225"/>
      <c r="AD50" s="428" t="str">
        <f>IF(Dispensing!AD50="","",Dispensing!AD50)</f>
        <v/>
      </c>
      <c r="AE50" s="225"/>
      <c r="AF50" s="225"/>
      <c r="AG50" s="225"/>
      <c r="AH50" s="428" t="str">
        <f>IF(Dispensing!AH50="","",Dispensing!AH50)</f>
        <v/>
      </c>
    </row>
    <row r="51" spans="1:37" x14ac:dyDescent="0.3">
      <c r="A51" s="334"/>
      <c r="B51" s="421" t="str">
        <f>IF(Dispensing!B51="","",Dispensing!B51)</f>
        <v/>
      </c>
      <c r="F51" s="424" t="str">
        <f>IF(Dispensing!F51="","",Dispensing!F51)</f>
        <v/>
      </c>
      <c r="G51" s="225"/>
      <c r="H51" s="225"/>
      <c r="I51" s="225"/>
      <c r="J51" s="426" t="str">
        <f>IF(Dispensing!J51="","",Dispensing!J51)</f>
        <v/>
      </c>
      <c r="K51" s="225"/>
      <c r="L51" s="225"/>
      <c r="M51" s="225"/>
      <c r="N51" s="428" t="str">
        <f>IF(Dispensing!N51="","",Dispensing!N51)</f>
        <v/>
      </c>
      <c r="O51" s="225"/>
      <c r="P51" s="225"/>
      <c r="Q51" s="225"/>
      <c r="R51" s="428" t="str">
        <f>IF(Dispensing!R51="","",Dispensing!R51)</f>
        <v/>
      </c>
      <c r="S51" s="225"/>
      <c r="T51" s="225"/>
      <c r="U51" s="225"/>
      <c r="V51" s="428" t="str">
        <f>IF(Dispensing!V51="","",Dispensing!V51)</f>
        <v/>
      </c>
      <c r="W51" s="225"/>
      <c r="X51" s="225"/>
      <c r="Y51" s="225"/>
      <c r="Z51" s="428" t="str">
        <f>IF(Dispensing!Z51="","",Dispensing!Z51)</f>
        <v/>
      </c>
      <c r="AA51" s="225"/>
      <c r="AB51" s="225"/>
      <c r="AC51" s="225"/>
      <c r="AD51" s="428" t="str">
        <f>IF(Dispensing!AD51="","",Dispensing!AD51)</f>
        <v/>
      </c>
      <c r="AE51" s="225"/>
      <c r="AF51" s="225"/>
      <c r="AG51" s="225"/>
      <c r="AH51" s="428" t="str">
        <f>IF(Dispensing!AH51="","",Dispensing!AH51)</f>
        <v/>
      </c>
    </row>
    <row r="52" spans="1:37" x14ac:dyDescent="0.3">
      <c r="A52" s="334"/>
      <c r="B52" s="421" t="str">
        <f>IF(Dispensing!B52="","",Dispensing!B52)</f>
        <v/>
      </c>
      <c r="F52" s="424" t="str">
        <f>IF(Dispensing!F52="","",Dispensing!F52)</f>
        <v/>
      </c>
      <c r="G52" s="225"/>
      <c r="H52" s="225"/>
      <c r="I52" s="225"/>
      <c r="J52" s="426" t="str">
        <f>IF(Dispensing!J52="","",Dispensing!J52)</f>
        <v/>
      </c>
      <c r="K52" s="225"/>
      <c r="L52" s="225"/>
      <c r="M52" s="225"/>
      <c r="N52" s="428" t="str">
        <f>IF(Dispensing!N52="","",Dispensing!N52)</f>
        <v/>
      </c>
      <c r="O52" s="225"/>
      <c r="P52" s="225"/>
      <c r="Q52" s="225"/>
      <c r="R52" s="428" t="str">
        <f>IF(Dispensing!R52="","",Dispensing!R52)</f>
        <v/>
      </c>
      <c r="S52" s="225"/>
      <c r="T52" s="225"/>
      <c r="U52" s="225"/>
      <c r="V52" s="428" t="str">
        <f>IF(Dispensing!V52="","",Dispensing!V52)</f>
        <v/>
      </c>
      <c r="W52" s="225"/>
      <c r="X52" s="225"/>
      <c r="Y52" s="225"/>
      <c r="Z52" s="428" t="str">
        <f>IF(Dispensing!Z52="","",Dispensing!Z52)</f>
        <v/>
      </c>
      <c r="AA52" s="225"/>
      <c r="AB52" s="225"/>
      <c r="AC52" s="225"/>
      <c r="AD52" s="428" t="str">
        <f>IF(Dispensing!AD52="","",Dispensing!AD52)</f>
        <v/>
      </c>
      <c r="AE52" s="225"/>
      <c r="AF52" s="225"/>
      <c r="AG52" s="225"/>
      <c r="AH52" s="428" t="str">
        <f>IF(Dispensing!AH52="","",Dispensing!AH52)</f>
        <v/>
      </c>
    </row>
    <row r="53" spans="1:37" x14ac:dyDescent="0.3">
      <c r="A53" s="334"/>
      <c r="B53" s="421" t="str">
        <f>IF(Dispensing!B53="","",Dispensing!B53)</f>
        <v/>
      </c>
      <c r="F53" s="424" t="str">
        <f>IF(Dispensing!F53="","",Dispensing!F53)</f>
        <v/>
      </c>
      <c r="G53" s="225"/>
      <c r="H53" s="225"/>
      <c r="I53" s="225"/>
      <c r="J53" s="426" t="str">
        <f>IF(Dispensing!J53="","",Dispensing!J53)</f>
        <v/>
      </c>
      <c r="K53" s="225"/>
      <c r="L53" s="225"/>
      <c r="M53" s="225"/>
      <c r="N53" s="428" t="str">
        <f>IF(Dispensing!N53="","",Dispensing!N53)</f>
        <v/>
      </c>
      <c r="O53" s="225"/>
      <c r="P53" s="225"/>
      <c r="Q53" s="225"/>
      <c r="R53" s="428" t="str">
        <f>IF(Dispensing!R53="","",Dispensing!R53)</f>
        <v/>
      </c>
      <c r="S53" s="225"/>
      <c r="T53" s="225"/>
      <c r="U53" s="225"/>
      <c r="V53" s="428" t="str">
        <f>IF(Dispensing!V53="","",Dispensing!V53)</f>
        <v/>
      </c>
      <c r="W53" s="225"/>
      <c r="X53" s="225"/>
      <c r="Y53" s="225"/>
      <c r="Z53" s="428" t="str">
        <f>IF(Dispensing!Z53="","",Dispensing!Z53)</f>
        <v/>
      </c>
      <c r="AA53" s="225"/>
      <c r="AB53" s="225"/>
      <c r="AC53" s="225"/>
      <c r="AD53" s="428" t="str">
        <f>IF(Dispensing!AD53="","",Dispensing!AD53)</f>
        <v/>
      </c>
      <c r="AE53" s="225"/>
      <c r="AF53" s="225"/>
      <c r="AG53" s="225"/>
      <c r="AH53" s="428" t="str">
        <f>IF(Dispensing!AH53="","",Dispensing!AH53)</f>
        <v/>
      </c>
    </row>
    <row r="54" spans="1:37" x14ac:dyDescent="0.3">
      <c r="A54" s="334"/>
      <c r="B54" s="421" t="str">
        <f>IF(Dispensing!B54="","",Dispensing!B54)</f>
        <v/>
      </c>
      <c r="F54" s="424" t="str">
        <f>IF(Dispensing!F54="","",Dispensing!F54)</f>
        <v/>
      </c>
      <c r="G54" s="225"/>
      <c r="H54" s="225"/>
      <c r="I54" s="225"/>
      <c r="J54" s="426" t="str">
        <f>IF(Dispensing!J54="","",Dispensing!J54)</f>
        <v/>
      </c>
      <c r="K54" s="225"/>
      <c r="L54" s="225"/>
      <c r="M54" s="225"/>
      <c r="N54" s="428" t="str">
        <f>IF(Dispensing!N54="","",Dispensing!N54)</f>
        <v/>
      </c>
      <c r="O54" s="225"/>
      <c r="P54" s="225"/>
      <c r="Q54" s="225"/>
      <c r="R54" s="428" t="str">
        <f>IF(Dispensing!R54="","",Dispensing!R54)</f>
        <v/>
      </c>
      <c r="S54" s="225"/>
      <c r="T54" s="225"/>
      <c r="U54" s="225"/>
      <c r="V54" s="428" t="str">
        <f>IF(Dispensing!V54="","",Dispensing!V54)</f>
        <v/>
      </c>
      <c r="W54" s="225"/>
      <c r="X54" s="225"/>
      <c r="Y54" s="225"/>
      <c r="Z54" s="428" t="str">
        <f>IF(Dispensing!Z54="","",Dispensing!Z54)</f>
        <v/>
      </c>
      <c r="AA54" s="225"/>
      <c r="AB54" s="225"/>
      <c r="AC54" s="225"/>
      <c r="AD54" s="428" t="str">
        <f>IF(Dispensing!AD54="","",Dispensing!AD54)</f>
        <v/>
      </c>
      <c r="AE54" s="225"/>
      <c r="AF54" s="225"/>
      <c r="AG54" s="225"/>
      <c r="AH54" s="428" t="str">
        <f>IF(Dispensing!AH54="","",Dispensing!AH54)</f>
        <v/>
      </c>
    </row>
    <row r="55" spans="1:37" x14ac:dyDescent="0.3">
      <c r="A55" s="335"/>
      <c r="B55" s="422" t="str">
        <f>IF(Dispensing!B55="","",Dispensing!B55)</f>
        <v/>
      </c>
      <c r="E55" t="str">
        <f>IF(B1="","",IF(E5="Simple",0,IF(OR(E5="Moderate",E11="Simple",E9="Simple"),1,IF(OR(E5="Complex",E11="Moderate",E9="Moderate"),2,IF(OR(E5="Very Complex",E11="Complex",E9="Complex"),3,IF(OR(E11="Very Complex",E9="Very Complex"),4,5))))))</f>
        <v/>
      </c>
      <c r="F55" s="425" t="str">
        <f>IF(Dispensing!F55="","",Dispensing!F55)</f>
        <v/>
      </c>
      <c r="G55" s="225"/>
      <c r="H55" s="225"/>
      <c r="I55" s="364" t="str">
        <f>IF(F1="","",IF(I5="Simple",0,IF(OR(I5="Moderate",I11="Simple",I9="Simple"),1,IF(OR(I5="Complex",I11="Moderate",I9="Moderate"),2,IF(OR(I5="Very Complex",I11="Complex",I9="Complex"),3,IF(OR(I11="Very Complex",I9="Very Complex"),4,5))))))</f>
        <v/>
      </c>
      <c r="J55" s="427" t="str">
        <f>IF(Dispensing!J55="","",Dispensing!J55)</f>
        <v/>
      </c>
      <c r="K55" s="225"/>
      <c r="L55" s="225"/>
      <c r="M55" s="364" t="str">
        <f>IF(J1="","",IF(M5="Simple",0,IF(OR(M5="Moderate",M11="Simple",M9="Simple"),1,IF(OR(M5="Complex",M11="Moderate",M9="Moderate"),2,IF(OR(M5="Very Complex",M11="Complex",M9="Complex"),3,IF(OR(M11="Very Complex",M9="Very Complex"),4,5))))))</f>
        <v/>
      </c>
      <c r="N55" s="429" t="str">
        <f>IF(Dispensing!N55="","",Dispensing!N55)</f>
        <v/>
      </c>
      <c r="O55" s="225"/>
      <c r="P55" s="225"/>
      <c r="Q55" s="364" t="str">
        <f>IF(N1="","",IF(Q5="Simple",0,IF(OR(Q5="Moderate",Q11="Simple",Q9="Simple"),1,IF(OR(Q5="Complex",Q11="Moderate",Q9="Moderate"),2,IF(OR(Q5="Very Complex",Q11="Complex",Q9="Complex"),3,IF(OR(Q11="Very Complex",Q9="Very Complex"),4,5))))))</f>
        <v/>
      </c>
      <c r="R55" s="429" t="str">
        <f>IF(Dispensing!R55="","",Dispensing!R55)</f>
        <v/>
      </c>
      <c r="S55" s="225"/>
      <c r="T55" s="225"/>
      <c r="U55" s="364" t="str">
        <f>IF(R1="","",IF(U5="Simple",0,IF(OR(U5="Moderate",U11="Simple",U9="Simple"),1,IF(OR(U5="Complex",U11="Moderate",U9="Moderate"),2,IF(OR(U5="Very Complex",U11="Complex",U9="Complex"),3,IF(OR(U11="Very Complex",U9="Very Complex"),4,5))))))</f>
        <v/>
      </c>
      <c r="V55" s="429" t="str">
        <f>IF(Dispensing!V55="","",Dispensing!V55)</f>
        <v/>
      </c>
      <c r="W55" s="225"/>
      <c r="X55" s="225"/>
      <c r="Y55" s="364" t="str">
        <f>IF(V1="","",IF(Y5="Simple",0,IF(OR(Y5="Moderate",Y11="Simple",Y9="Simple"),1,IF(OR(Y5="Complex",Y11="Moderate",Y9="Moderate"),2,IF(OR(Y5="Very Complex",Y11="Complex",Y9="Complex"),3,IF(OR(Y11="Very Complex",Y9="Very Complex"),4,5))))))</f>
        <v/>
      </c>
      <c r="Z55" s="429" t="str">
        <f>IF(Dispensing!Z55="","",Dispensing!Z55)</f>
        <v/>
      </c>
      <c r="AA55" s="225"/>
      <c r="AB55" s="225"/>
      <c r="AC55" s="364" t="str">
        <f>IF(Z1="","",IF(AC5="Simple",0,IF(OR(AC5="Moderate",AC11="Simple",AC9="Simple"),1,IF(OR(AC5="Complex",AC11="Moderate",AC9="Moderate"),2,IF(OR(AC5="Very Complex",AC11="Complex",AC9="Complex"),3,IF(OR(AC11="Very Complex",AC9="Very Complex"),4,5))))))</f>
        <v/>
      </c>
      <c r="AD55" s="429" t="str">
        <f>IF(Dispensing!AD55="","",Dispensing!AD55)</f>
        <v/>
      </c>
      <c r="AE55" s="225"/>
      <c r="AF55" s="225"/>
      <c r="AG55" s="364" t="str">
        <f>IF(AD1="","",IF(AG5="Simple",0,IF(OR(AG5="Moderate",AG11="Simple",AG9="Simple"),1,IF(OR(AG5="Complex",AG11="Moderate",AG9="Moderate"),2,IF(OR(AG5="Very Complex",AG11="Complex",AG9="Complex"),3,IF(OR(AG11="Very Complex",AG9="Very Complex"),4,5))))))</f>
        <v/>
      </c>
      <c r="AH55" s="429" t="str">
        <f>IF(Dispensing!AH55="","",Dispensing!AH55)</f>
        <v/>
      </c>
      <c r="AI55" s="6"/>
      <c r="AK55" s="364" t="str">
        <f>IF(AH1="","",IF(AK5="Simple",0,IF(OR(AK5="Moderate",AK11="Simple"),1,IF(OR(AK5="Complex",AK11="Moderate"),2,IF(OR(AK5="Very Complex",AK11="Complex"),3,IF(AK11="Very Complex",4,5))))))</f>
        <v/>
      </c>
    </row>
  </sheetData>
  <sheetProtection algorithmName="SHA-512" hashValue="7/2sPLgfgS/fmSK+oY8qQyEttQYlNU9gKRWNxqTLJb3eq2vtIyqw4xEhGzWR8/hOzjIpIS8/LAcoWmQpXQwEDg==" saltValue="8OOkGzfbwdCJwfDMSYS9CQ==" spinCount="100000" sheet="1" selectLockedCells="1"/>
  <dataValidations count="3">
    <dataValidation type="list" allowBlank="1" showInputMessage="1" showErrorMessage="1" sqref="F9:F14 F16 B16 F18:F21 J9:J14 J16 J18:J21 N9:N14 N16 N18:N21 R9:R14 R16 R18:R21 V9:V14 V16 V18:V21 Z9:Z14 Z16 Z18:Z21 AD9:AD14 AD16 AD18:AD21 AH9:AH14 AH16 AH18:AH21 B9:B14 B18:B21 B5:B7 AD5:AD7 Z5:Z7 V5:V7 R5:R7 N5:N7 J5:J7 F5:F7 AH5:AH7" xr:uid="{5CBBFF95-48EE-4E29-80A9-8E52833D7653}">
      <formula1>$EF$5:$EF$6</formula1>
    </dataValidation>
    <dataValidation type="whole" allowBlank="1" showInputMessage="1" showErrorMessage="1" sqref="B8 F8 J8 N8 R8 V8 Z8 AD8 AH8" xr:uid="{A29EFA4C-E35C-48A2-B340-965FAAAB1450}">
      <formula1>1</formula1>
      <formula2>9999</formula2>
    </dataValidation>
    <dataValidation type="whole" allowBlank="1" showInputMessage="1" showErrorMessage="1" sqref="B15 B17 F15 F17 J15 J17 N15 N17 R15 R17 V15 V17 Z15 Z17 AD15 AD17 AH15 AH17" xr:uid="{8BFC264C-EAF5-4442-B9B2-BF8CA2C6C351}">
      <formula1>1</formula1>
      <formula2>20</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249977111117893"/>
  </sheetPr>
  <dimension ref="A1:R30"/>
  <sheetViews>
    <sheetView workbookViewId="0">
      <selection activeCell="O1" sqref="O1:R1048576"/>
    </sheetView>
  </sheetViews>
  <sheetFormatPr defaultColWidth="8.77734375" defaultRowHeight="14.4" x14ac:dyDescent="0.3"/>
  <cols>
    <col min="1" max="1" width="25" customWidth="1"/>
    <col min="2" max="2" width="15" style="88" customWidth="1"/>
    <col min="3" max="3" width="14.33203125" style="88" customWidth="1"/>
    <col min="4" max="4" width="13.77734375" customWidth="1"/>
    <col min="5" max="5" width="14.77734375" customWidth="1"/>
    <col min="12" max="14" width="8.77734375" customWidth="1"/>
    <col min="15" max="15" width="29.21875" hidden="1" customWidth="1"/>
    <col min="16" max="16" width="11.6640625" hidden="1" customWidth="1"/>
    <col min="17" max="17" width="7.5546875" hidden="1" customWidth="1"/>
    <col min="18" max="18" width="7.6640625" hidden="1" customWidth="1"/>
  </cols>
  <sheetData>
    <row r="1" spans="1:18" x14ac:dyDescent="0.3">
      <c r="A1" s="648" t="s">
        <v>110</v>
      </c>
      <c r="B1" s="649"/>
      <c r="C1" s="183" t="s">
        <v>8</v>
      </c>
      <c r="D1" s="184" t="s">
        <v>119</v>
      </c>
      <c r="E1" s="78" t="s">
        <v>118</v>
      </c>
      <c r="G1" s="647" t="s">
        <v>152</v>
      </c>
      <c r="H1" s="647"/>
      <c r="I1" s="647"/>
      <c r="J1" s="647"/>
      <c r="K1" s="647"/>
      <c r="O1" t="s">
        <v>270</v>
      </c>
      <c r="P1" t="s">
        <v>137</v>
      </c>
      <c r="Q1" t="s">
        <v>138</v>
      </c>
      <c r="R1" t="s">
        <v>139</v>
      </c>
    </row>
    <row r="2" spans="1:18" x14ac:dyDescent="0.3">
      <c r="A2" s="629" t="str">
        <f>'Manufacturing-Testing-Other'!Z2</f>
        <v/>
      </c>
      <c r="B2" s="646"/>
      <c r="C2" s="185"/>
      <c r="D2" s="186"/>
      <c r="E2" s="106" t="str">
        <f>IF(A2="","",C2*D2)</f>
        <v/>
      </c>
      <c r="G2" s="647"/>
      <c r="H2" s="647"/>
      <c r="I2" s="647"/>
      <c r="J2" s="647"/>
      <c r="K2" s="647"/>
      <c r="O2" t="s">
        <v>271</v>
      </c>
      <c r="P2">
        <v>29</v>
      </c>
      <c r="Q2">
        <v>47</v>
      </c>
      <c r="R2">
        <v>52</v>
      </c>
    </row>
    <row r="3" spans="1:18" x14ac:dyDescent="0.3">
      <c r="A3" s="629" t="str">
        <f>'Manufacturing-Testing-Other'!Z3</f>
        <v/>
      </c>
      <c r="B3" s="646"/>
      <c r="C3" s="187"/>
      <c r="D3" s="188"/>
      <c r="E3" s="105" t="str">
        <f>IF(A3="","",C3*D3)</f>
        <v/>
      </c>
      <c r="O3" t="s">
        <v>272</v>
      </c>
      <c r="P3">
        <v>154</v>
      </c>
      <c r="Q3">
        <v>255</v>
      </c>
      <c r="R3">
        <v>281</v>
      </c>
    </row>
    <row r="4" spans="1:18" x14ac:dyDescent="0.3">
      <c r="A4" s="629" t="str">
        <f>'Manufacturing-Testing-Other'!Z4</f>
        <v/>
      </c>
      <c r="B4" s="646"/>
      <c r="C4" s="187"/>
      <c r="D4" s="188"/>
      <c r="E4" s="105" t="str">
        <f t="shared" ref="E4:E20" si="0">IF(A4="","",C4*D4)</f>
        <v/>
      </c>
      <c r="O4" t="s">
        <v>273</v>
      </c>
      <c r="P4">
        <v>0</v>
      </c>
      <c r="Q4">
        <v>0</v>
      </c>
      <c r="R4">
        <v>0</v>
      </c>
    </row>
    <row r="5" spans="1:18" x14ac:dyDescent="0.3">
      <c r="A5" s="629" t="str">
        <f>'Manufacturing-Testing-Other'!Z5</f>
        <v/>
      </c>
      <c r="B5" s="646"/>
      <c r="C5" s="187"/>
      <c r="D5" s="188"/>
      <c r="E5" s="105" t="str">
        <f t="shared" si="0"/>
        <v/>
      </c>
      <c r="O5" t="s">
        <v>274</v>
      </c>
      <c r="P5">
        <v>26</v>
      </c>
      <c r="Q5">
        <v>44</v>
      </c>
      <c r="R5">
        <v>48</v>
      </c>
    </row>
    <row r="6" spans="1:18" x14ac:dyDescent="0.3">
      <c r="A6" s="629" t="str">
        <f>'Manufacturing-Testing-Other'!Z6</f>
        <v/>
      </c>
      <c r="B6" s="646"/>
      <c r="C6" s="187"/>
      <c r="D6" s="188"/>
      <c r="E6" s="105" t="str">
        <f t="shared" si="0"/>
        <v/>
      </c>
      <c r="O6" t="s">
        <v>289</v>
      </c>
      <c r="P6">
        <v>76</v>
      </c>
      <c r="Q6">
        <v>125</v>
      </c>
      <c r="R6">
        <v>139</v>
      </c>
    </row>
    <row r="7" spans="1:18" x14ac:dyDescent="0.3">
      <c r="A7" s="629" t="str">
        <f>'Manufacturing-Testing-Other'!Z7</f>
        <v/>
      </c>
      <c r="B7" s="646"/>
      <c r="C7" s="187"/>
      <c r="D7" s="188"/>
      <c r="E7" s="105" t="str">
        <f t="shared" si="0"/>
        <v/>
      </c>
      <c r="H7" s="11"/>
      <c r="O7" t="s">
        <v>275</v>
      </c>
      <c r="P7">
        <v>465</v>
      </c>
      <c r="Q7">
        <v>770</v>
      </c>
      <c r="R7">
        <v>847</v>
      </c>
    </row>
    <row r="8" spans="1:18" x14ac:dyDescent="0.3">
      <c r="A8" s="629" t="str">
        <f>'Manufacturing-Testing-Other'!Z8</f>
        <v/>
      </c>
      <c r="B8" s="646"/>
      <c r="C8" s="187"/>
      <c r="D8" s="188"/>
      <c r="E8" s="105" t="str">
        <f t="shared" si="0"/>
        <v/>
      </c>
    </row>
    <row r="9" spans="1:18" x14ac:dyDescent="0.3">
      <c r="A9" s="629" t="str">
        <f>'Manufacturing-Testing-Other'!Z9</f>
        <v/>
      </c>
      <c r="B9" s="646"/>
      <c r="C9" s="187"/>
      <c r="D9" s="188"/>
      <c r="E9" s="105" t="str">
        <f t="shared" si="0"/>
        <v/>
      </c>
    </row>
    <row r="10" spans="1:18" x14ac:dyDescent="0.3">
      <c r="A10" s="632" t="str">
        <f>'Manufacturing-Testing-Other'!Z10</f>
        <v/>
      </c>
      <c r="B10" s="633"/>
      <c r="C10" s="189"/>
      <c r="D10" s="190"/>
      <c r="E10" s="107" t="str">
        <f t="shared" si="0"/>
        <v/>
      </c>
    </row>
    <row r="11" spans="1:18" ht="14.4" customHeight="1" x14ac:dyDescent="0.3">
      <c r="A11" s="648" t="s">
        <v>223</v>
      </c>
      <c r="B11" s="649"/>
      <c r="C11" s="183" t="s">
        <v>8</v>
      </c>
      <c r="D11" s="184" t="s">
        <v>119</v>
      </c>
      <c r="E11" s="78" t="s">
        <v>118</v>
      </c>
    </row>
    <row r="12" spans="1:18" ht="14.4" customHeight="1" x14ac:dyDescent="0.3">
      <c r="A12" s="644"/>
      <c r="B12" s="582"/>
      <c r="C12" s="185"/>
      <c r="D12" s="186"/>
      <c r="E12" s="298" t="str">
        <f t="shared" si="0"/>
        <v/>
      </c>
    </row>
    <row r="13" spans="1:18" ht="14.4" customHeight="1" x14ac:dyDescent="0.3">
      <c r="A13" s="645"/>
      <c r="B13" s="646"/>
      <c r="C13" s="187"/>
      <c r="D13" s="188"/>
      <c r="E13" s="299" t="str">
        <f t="shared" si="0"/>
        <v/>
      </c>
    </row>
    <row r="14" spans="1:18" ht="14.4" customHeight="1" x14ac:dyDescent="0.3">
      <c r="A14" s="645"/>
      <c r="B14" s="646"/>
      <c r="C14" s="187"/>
      <c r="D14" s="188"/>
      <c r="E14" s="299" t="str">
        <f t="shared" si="0"/>
        <v/>
      </c>
      <c r="I14" s="11"/>
    </row>
    <row r="15" spans="1:18" ht="14.4" customHeight="1" x14ac:dyDescent="0.3">
      <c r="A15" s="645"/>
      <c r="B15" s="646"/>
      <c r="C15" s="187"/>
      <c r="D15" s="188"/>
      <c r="E15" s="299" t="str">
        <f t="shared" si="0"/>
        <v/>
      </c>
    </row>
    <row r="16" spans="1:18" ht="14.4" customHeight="1" x14ac:dyDescent="0.3">
      <c r="A16" s="645"/>
      <c r="B16" s="646"/>
      <c r="C16" s="187"/>
      <c r="D16" s="188"/>
      <c r="E16" s="299" t="str">
        <f t="shared" si="0"/>
        <v/>
      </c>
    </row>
    <row r="17" spans="1:5" ht="14.4" customHeight="1" x14ac:dyDescent="0.3">
      <c r="A17" s="645"/>
      <c r="B17" s="646"/>
      <c r="C17" s="187"/>
      <c r="D17" s="188"/>
      <c r="E17" s="299" t="str">
        <f t="shared" si="0"/>
        <v/>
      </c>
    </row>
    <row r="18" spans="1:5" ht="14.4" customHeight="1" x14ac:dyDescent="0.3">
      <c r="A18" s="645"/>
      <c r="B18" s="646"/>
      <c r="C18" s="187"/>
      <c r="D18" s="188"/>
      <c r="E18" s="299" t="str">
        <f t="shared" si="0"/>
        <v/>
      </c>
    </row>
    <row r="19" spans="1:5" ht="14.4" customHeight="1" x14ac:dyDescent="0.3">
      <c r="A19" s="645"/>
      <c r="B19" s="646"/>
      <c r="C19" s="187"/>
      <c r="D19" s="188"/>
      <c r="E19" s="299" t="str">
        <f t="shared" si="0"/>
        <v/>
      </c>
    </row>
    <row r="20" spans="1:5" ht="14.4" customHeight="1" x14ac:dyDescent="0.3">
      <c r="A20" s="645"/>
      <c r="B20" s="646"/>
      <c r="C20" s="189"/>
      <c r="D20" s="190"/>
      <c r="E20" s="300" t="str">
        <f t="shared" si="0"/>
        <v/>
      </c>
    </row>
    <row r="21" spans="1:5" ht="14.4" customHeight="1" x14ac:dyDescent="0.3">
      <c r="A21" s="648" t="s">
        <v>269</v>
      </c>
      <c r="B21" s="649"/>
      <c r="C21" s="183" t="s">
        <v>8</v>
      </c>
      <c r="D21" s="183" t="s">
        <v>119</v>
      </c>
      <c r="E21" s="78" t="s">
        <v>118</v>
      </c>
    </row>
    <row r="22" spans="1:5" ht="14.4" customHeight="1" x14ac:dyDescent="0.3">
      <c r="A22" s="644"/>
      <c r="B22" s="582"/>
      <c r="C22" s="185"/>
      <c r="D22" s="341" t="str">
        <f>IF(A22="","",IF('Estimate Details'!$C$1="Non-Industry",VLOOKUP('Drug &amp; Supply Prices'!A22,'Drug &amp; Supply Prices'!$O$2:$P$7,2,FALSE),IF('Estimate Details'!$C$1="Industry",VLOOKUP('Drug &amp; Supply Prices'!A22,'Drug &amp; Supply Prices'!$O$2:$Q$7,3,FALSE),IF('Estimate Details'!$C$1="External",VLOOKUP('Drug &amp; Supply Prices'!A22,'Drug &amp; Supply Prices'!$O$2:$R$7,4,FALSE),""))))</f>
        <v/>
      </c>
      <c r="E22" s="320" t="str">
        <f>IF(A22="","",C22*D22)</f>
        <v/>
      </c>
    </row>
    <row r="23" spans="1:5" ht="14.4" customHeight="1" x14ac:dyDescent="0.3">
      <c r="A23" s="645"/>
      <c r="B23" s="630"/>
      <c r="C23" s="319"/>
      <c r="D23" s="342" t="str">
        <f>IF(A23="","",IF('Estimate Details'!$C$1="Non-Industry",VLOOKUP('Drug &amp; Supply Prices'!A23,'Drug &amp; Supply Prices'!$O$2:$P$7,2,FALSE),IF('Estimate Details'!$C$1="Industry",VLOOKUP('Drug &amp; Supply Prices'!A23,'Drug &amp; Supply Prices'!$O$2:$Q$7,3,FALSE),IF('Estimate Details'!$C$1="External",VLOOKUP('Drug &amp; Supply Prices'!A23,'Drug &amp; Supply Prices'!$O$2:$R$7,4,FALSE),""))))</f>
        <v/>
      </c>
      <c r="E23" s="320" t="str">
        <f t="shared" ref="E23:E30" si="1">IF(A23="","",C23*D23)</f>
        <v/>
      </c>
    </row>
    <row r="24" spans="1:5" ht="14.4" customHeight="1" x14ac:dyDescent="0.3">
      <c r="A24" s="645"/>
      <c r="B24" s="646"/>
      <c r="C24" s="319"/>
      <c r="D24" s="339" t="str">
        <f>IF(A24="","",IF('Estimate Details'!$C$1="Non-Industry",VLOOKUP('Drug &amp; Supply Prices'!A24,'Drug &amp; Supply Prices'!$O$2:$P$7,2,FALSE),IF('Estimate Details'!$C$1="Industry",VLOOKUP('Drug &amp; Supply Prices'!A24,'Drug &amp; Supply Prices'!$O$2:$Q$7,3,FALSE),IF('Estimate Details'!$C$1="External",VLOOKUP('Drug &amp; Supply Prices'!A24,'Drug &amp; Supply Prices'!$O$2:$R$7,4,FALSE),""))))</f>
        <v/>
      </c>
      <c r="E24" s="320" t="str">
        <f t="shared" si="1"/>
        <v/>
      </c>
    </row>
    <row r="25" spans="1:5" ht="14.4" customHeight="1" x14ac:dyDescent="0.3">
      <c r="A25" s="645"/>
      <c r="B25" s="646"/>
      <c r="C25" s="319"/>
      <c r="D25" s="343" t="str">
        <f>IF(A25="","",IF('Estimate Details'!$C$1="Non-Industry",VLOOKUP('Drug &amp; Supply Prices'!A25,'Drug &amp; Supply Prices'!$O$2:$P$7,2,FALSE),IF('Estimate Details'!$C$1="Industry",VLOOKUP('Drug &amp; Supply Prices'!A25,'Drug &amp; Supply Prices'!$O$2:$Q$7,3,FALSE),IF('Estimate Details'!$C$1="External",VLOOKUP('Drug &amp; Supply Prices'!A25,'Drug &amp; Supply Prices'!$O$2:$R$7,4,FALSE),""))))</f>
        <v/>
      </c>
      <c r="E25" s="320" t="str">
        <f t="shared" si="1"/>
        <v/>
      </c>
    </row>
    <row r="26" spans="1:5" ht="14.4" customHeight="1" x14ac:dyDescent="0.3">
      <c r="A26" s="645"/>
      <c r="B26" s="646"/>
      <c r="C26" s="319"/>
      <c r="D26" s="343" t="str">
        <f>IF(A26="","",IF('Estimate Details'!$C$1="Non-Industry",VLOOKUP('Drug &amp; Supply Prices'!A26,'Drug &amp; Supply Prices'!$O$2:$P$7,2,FALSE),IF('Estimate Details'!$C$1="Industry",VLOOKUP('Drug &amp; Supply Prices'!A26,'Drug &amp; Supply Prices'!$O$2:$Q$7,3,FALSE),IF('Estimate Details'!$C$1="External",VLOOKUP('Drug &amp; Supply Prices'!A26,'Drug &amp; Supply Prices'!$O$2:$R$7,4,FALSE),""))))</f>
        <v/>
      </c>
      <c r="E26" s="320" t="str">
        <f t="shared" si="1"/>
        <v/>
      </c>
    </row>
    <row r="27" spans="1:5" ht="14.4" customHeight="1" x14ac:dyDescent="0.3">
      <c r="A27" s="645"/>
      <c r="B27" s="646"/>
      <c r="C27" s="319"/>
      <c r="D27" s="343" t="str">
        <f>IF(A27="","",IF('Estimate Details'!$C$1="Non-Industry",VLOOKUP('Drug &amp; Supply Prices'!A27,'Drug &amp; Supply Prices'!$O$2:$P$7,2,FALSE),IF('Estimate Details'!$C$1="Industry",VLOOKUP('Drug &amp; Supply Prices'!A27,'Drug &amp; Supply Prices'!$O$2:$Q$7,3,FALSE),IF('Estimate Details'!$C$1="External",VLOOKUP('Drug &amp; Supply Prices'!A27,'Drug &amp; Supply Prices'!$O$2:$R$7,4,FALSE),""))))</f>
        <v/>
      </c>
      <c r="E27" s="320" t="str">
        <f t="shared" si="1"/>
        <v/>
      </c>
    </row>
    <row r="28" spans="1:5" ht="14.4" customHeight="1" x14ac:dyDescent="0.3">
      <c r="A28" s="645"/>
      <c r="B28" s="646"/>
      <c r="C28" s="319"/>
      <c r="D28" s="343" t="str">
        <f>IF(A28="","",IF('Estimate Details'!$C$1="Non-Industry",VLOOKUP('Drug &amp; Supply Prices'!A28,'Drug &amp; Supply Prices'!$O$2:$P$7,2,FALSE),IF('Estimate Details'!$C$1="Industry",VLOOKUP('Drug &amp; Supply Prices'!A28,'Drug &amp; Supply Prices'!$O$2:$Q$7,3,FALSE),IF('Estimate Details'!$C$1="External",VLOOKUP('Drug &amp; Supply Prices'!A28,'Drug &amp; Supply Prices'!$O$2:$R$7,4,FALSE),""))))</f>
        <v/>
      </c>
      <c r="E28" s="320" t="str">
        <f t="shared" si="1"/>
        <v/>
      </c>
    </row>
    <row r="29" spans="1:5" ht="14.4" customHeight="1" x14ac:dyDescent="0.3">
      <c r="A29" s="645"/>
      <c r="B29" s="646"/>
      <c r="C29" s="319"/>
      <c r="D29" s="342" t="str">
        <f>IF(A29="","",IF('Estimate Details'!$C$1="Non-Industry",VLOOKUP('Drug &amp; Supply Prices'!A29,'Drug &amp; Supply Prices'!$O$2:$P$7,2,FALSE),IF('Estimate Details'!$C$1="Industry",VLOOKUP('Drug &amp; Supply Prices'!A29,'Drug &amp; Supply Prices'!$O$2:$Q$7,3,FALSE),IF('Estimate Details'!$C$1="External",VLOOKUP('Drug &amp; Supply Prices'!A29,'Drug &amp; Supply Prices'!$O$2:$R$7,4,FALSE),""))))</f>
        <v/>
      </c>
      <c r="E29" s="320" t="str">
        <f t="shared" si="1"/>
        <v/>
      </c>
    </row>
    <row r="30" spans="1:5" ht="14.4" customHeight="1" x14ac:dyDescent="0.3">
      <c r="A30" s="568"/>
      <c r="B30" s="633"/>
      <c r="C30" s="189"/>
      <c r="D30" s="340" t="str">
        <f>IF(A30="","",IF('Estimate Details'!$C$1="Non-Industry",VLOOKUP('Drug &amp; Supply Prices'!A30,'Drug &amp; Supply Prices'!$O$2:$P$7,2,FALSE),IF('Estimate Details'!$C$1="Industry",VLOOKUP('Drug &amp; Supply Prices'!A30,'Drug &amp; Supply Prices'!$O$2:$Q$7,3,FALSE),IF('Estimate Details'!$C$1="External",VLOOKUP('Drug &amp; Supply Prices'!A30,'Drug &amp; Supply Prices'!$O$2:$R$7,4,FALSE),""))))</f>
        <v/>
      </c>
      <c r="E30" s="321" t="str">
        <f t="shared" si="1"/>
        <v/>
      </c>
    </row>
  </sheetData>
  <sheetProtection algorithmName="SHA-512" hashValue="CdGxHeztKMx9r1/rZ/jQWdxby6KOeEjk9w2OfmqaPFA9DZvLUkWS+Fvfn175nk2Oemm1TdXA4oUo5wbMUs65vw==" saltValue="EpoKJXCq6td1hvmVRYN+bQ==" spinCount="100000" sheet="1" selectLockedCells="1"/>
  <mergeCells count="31">
    <mergeCell ref="A27:B27"/>
    <mergeCell ref="A28:B28"/>
    <mergeCell ref="A29:B29"/>
    <mergeCell ref="A30:B30"/>
    <mergeCell ref="A11:B11"/>
    <mergeCell ref="A21:B21"/>
    <mergeCell ref="A22:B22"/>
    <mergeCell ref="A23:B23"/>
    <mergeCell ref="A24:B24"/>
    <mergeCell ref="A25:B25"/>
    <mergeCell ref="A26:B26"/>
    <mergeCell ref="A16:B16"/>
    <mergeCell ref="A17:B17"/>
    <mergeCell ref="A18:B18"/>
    <mergeCell ref="A19:B19"/>
    <mergeCell ref="A20:B20"/>
    <mergeCell ref="G1:K2"/>
    <mergeCell ref="A1:B1"/>
    <mergeCell ref="A2:B2"/>
    <mergeCell ref="A3:B3"/>
    <mergeCell ref="A4:B4"/>
    <mergeCell ref="A5:B5"/>
    <mergeCell ref="A6:B6"/>
    <mergeCell ref="A7:B7"/>
    <mergeCell ref="A8:B8"/>
    <mergeCell ref="A9:B9"/>
    <mergeCell ref="A10:B10"/>
    <mergeCell ref="A12:B12"/>
    <mergeCell ref="A13:B13"/>
    <mergeCell ref="A14:B14"/>
    <mergeCell ref="A15:B15"/>
  </mergeCells>
  <dataValidations count="1">
    <dataValidation type="list" allowBlank="1" showInputMessage="1" showErrorMessage="1" sqref="A22:B30" xr:uid="{AF70871C-8A05-4D1F-969E-5C622D8E3AD7}">
      <formula1>$O$2:$O$7</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9" tint="-0.249977111117893"/>
    <pageSetUpPr fitToPage="1"/>
  </sheetPr>
  <dimension ref="A1:N57"/>
  <sheetViews>
    <sheetView topLeftCell="O1" workbookViewId="0">
      <pane ySplit="2" topLeftCell="A7" activePane="bottomLeft" state="frozen"/>
      <selection activeCell="A25" sqref="A25:C25"/>
      <selection pane="bottomLeft" activeCell="A2" sqref="A1:N1048576"/>
    </sheetView>
  </sheetViews>
  <sheetFormatPr defaultColWidth="9.109375" defaultRowHeight="14.4" x14ac:dyDescent="0.3"/>
  <cols>
    <col min="1" max="1" width="51.109375" style="13" hidden="1" customWidth="1"/>
    <col min="2" max="2" width="23.44140625" style="21" hidden="1" customWidth="1"/>
    <col min="3" max="3" width="15.33203125" style="14" hidden="1" customWidth="1"/>
    <col min="4" max="4" width="60" style="13" hidden="1" customWidth="1"/>
    <col min="5" max="5" width="5.21875" style="12" hidden="1" customWidth="1"/>
    <col min="6" max="6" width="19.5546875" style="12" hidden="1" customWidth="1"/>
    <col min="7" max="7" width="9.109375" style="12" hidden="1" customWidth="1"/>
    <col min="8" max="8" width="2" style="12" hidden="1" customWidth="1"/>
    <col min="9" max="9" width="3.109375" style="12" hidden="1" customWidth="1"/>
    <col min="10" max="10" width="3.88671875" style="12" hidden="1" customWidth="1"/>
    <col min="11" max="11" width="4.5546875" style="12" hidden="1" customWidth="1"/>
    <col min="12" max="12" width="11.6640625" style="12" hidden="1" customWidth="1"/>
    <col min="13" max="13" width="11.109375" style="12" hidden="1" customWidth="1"/>
    <col min="14" max="14" width="9.109375" style="12" hidden="1" customWidth="1"/>
    <col min="15" max="21" width="9.109375" style="12" customWidth="1"/>
    <col min="22" max="16384" width="9.109375" style="12"/>
  </cols>
  <sheetData>
    <row r="1" spans="1:13" ht="24" customHeight="1" x14ac:dyDescent="0.3">
      <c r="A1" s="650" t="s">
        <v>129</v>
      </c>
      <c r="B1" s="651"/>
      <c r="C1" s="651"/>
      <c r="D1" s="652"/>
      <c r="G1" s="12" t="s">
        <v>48</v>
      </c>
      <c r="I1" s="12">
        <v>1</v>
      </c>
      <c r="L1" s="199" t="s">
        <v>137</v>
      </c>
      <c r="M1" s="182">
        <f>ROUND(D55,2)</f>
        <v>390</v>
      </c>
    </row>
    <row r="2" spans="1:13" ht="48" customHeight="1" thickBot="1" x14ac:dyDescent="0.35">
      <c r="A2" s="60" t="s">
        <v>10</v>
      </c>
      <c r="B2" s="87" t="s">
        <v>50</v>
      </c>
      <c r="C2" s="55"/>
      <c r="D2" s="61" t="s">
        <v>9</v>
      </c>
      <c r="E2" s="197"/>
      <c r="F2" s="55" t="s">
        <v>11</v>
      </c>
      <c r="G2" s="197" t="s">
        <v>49</v>
      </c>
      <c r="H2" s="197"/>
      <c r="I2" s="197">
        <v>0</v>
      </c>
      <c r="J2" s="197"/>
      <c r="L2" s="199" t="s">
        <v>138</v>
      </c>
      <c r="M2" s="182">
        <f>ROUND(M1*1.655,0)</f>
        <v>645</v>
      </c>
    </row>
    <row r="3" spans="1:13" ht="14.55" customHeight="1" x14ac:dyDescent="0.3">
      <c r="A3" s="661" t="s">
        <v>12</v>
      </c>
      <c r="B3" s="664">
        <f>'Initiation &amp; Maintenance'!D5</f>
        <v>0</v>
      </c>
      <c r="C3" s="667">
        <f>B50*B3</f>
        <v>0</v>
      </c>
      <c r="D3" s="50" t="s">
        <v>54</v>
      </c>
      <c r="F3" s="678">
        <f>B50*B3</f>
        <v>0</v>
      </c>
      <c r="L3" s="199" t="s">
        <v>139</v>
      </c>
      <c r="M3" s="182">
        <f>ROUND(M1*1.82,0)</f>
        <v>710</v>
      </c>
    </row>
    <row r="4" spans="1:13" x14ac:dyDescent="0.3">
      <c r="A4" s="662"/>
      <c r="B4" s="665"/>
      <c r="C4" s="668"/>
      <c r="D4" s="50" t="s">
        <v>196</v>
      </c>
      <c r="F4" s="679"/>
    </row>
    <row r="5" spans="1:13" x14ac:dyDescent="0.3">
      <c r="A5" s="662"/>
      <c r="B5" s="665"/>
      <c r="C5" s="668"/>
      <c r="D5" s="50" t="s">
        <v>197</v>
      </c>
      <c r="F5" s="679"/>
    </row>
    <row r="6" spans="1:13" x14ac:dyDescent="0.3">
      <c r="A6" s="662"/>
      <c r="B6" s="665"/>
      <c r="C6" s="668"/>
      <c r="D6" s="50" t="s">
        <v>55</v>
      </c>
      <c r="F6" s="679"/>
    </row>
    <row r="7" spans="1:13" ht="15" thickBot="1" x14ac:dyDescent="0.35">
      <c r="A7" s="663"/>
      <c r="B7" s="666"/>
      <c r="C7" s="669"/>
      <c r="D7" s="51" t="s">
        <v>56</v>
      </c>
      <c r="E7" s="197"/>
      <c r="F7" s="680"/>
      <c r="G7" s="197"/>
      <c r="H7" s="197"/>
      <c r="I7" s="197"/>
      <c r="J7" s="197"/>
    </row>
    <row r="8" spans="1:13" ht="15.75" customHeight="1" x14ac:dyDescent="0.3">
      <c r="A8" s="670" t="s">
        <v>13</v>
      </c>
      <c r="B8" s="664">
        <f>'Initiation &amp; Maintenance'!D6</f>
        <v>0</v>
      </c>
      <c r="C8" s="671">
        <f>2*B50*B8</f>
        <v>0</v>
      </c>
      <c r="D8" s="50" t="s">
        <v>54</v>
      </c>
      <c r="F8" s="681">
        <f>2*B50*B8</f>
        <v>0</v>
      </c>
    </row>
    <row r="9" spans="1:13" x14ac:dyDescent="0.3">
      <c r="A9" s="662"/>
      <c r="B9" s="665"/>
      <c r="C9" s="672"/>
      <c r="D9" s="50" t="s">
        <v>196</v>
      </c>
      <c r="F9" s="682"/>
    </row>
    <row r="10" spans="1:13" x14ac:dyDescent="0.3">
      <c r="A10" s="662"/>
      <c r="B10" s="665"/>
      <c r="C10" s="672"/>
      <c r="D10" s="50" t="s">
        <v>197</v>
      </c>
      <c r="F10" s="682"/>
    </row>
    <row r="11" spans="1:13" x14ac:dyDescent="0.3">
      <c r="A11" s="662"/>
      <c r="B11" s="665"/>
      <c r="C11" s="672"/>
      <c r="D11" s="50" t="s">
        <v>55</v>
      </c>
      <c r="F11" s="682"/>
    </row>
    <row r="12" spans="1:13" x14ac:dyDescent="0.3">
      <c r="A12" s="663"/>
      <c r="B12" s="666"/>
      <c r="C12" s="673"/>
      <c r="D12" s="51" t="s">
        <v>56</v>
      </c>
      <c r="E12" s="197"/>
      <c r="F12" s="682"/>
      <c r="G12" s="197"/>
      <c r="H12" s="197"/>
      <c r="I12" s="197"/>
      <c r="J12" s="197"/>
    </row>
    <row r="13" spans="1:13" ht="17.399999999999999" customHeight="1" x14ac:dyDescent="0.3">
      <c r="A13" s="48" t="s">
        <v>14</v>
      </c>
      <c r="B13" s="113">
        <v>3</v>
      </c>
      <c r="C13" s="208">
        <f>ROUND(SUM((B50*0.083*7)+(B51*0.083*7))*B13,0)</f>
        <v>390</v>
      </c>
      <c r="D13" s="52" t="s">
        <v>57</v>
      </c>
      <c r="F13" s="204">
        <f>ROUND(SUM((B50*0.083*7)+(B51*0.083*7))*B13,0)</f>
        <v>390</v>
      </c>
    </row>
    <row r="14" spans="1:13" x14ac:dyDescent="0.3">
      <c r="A14" s="48" t="s">
        <v>15</v>
      </c>
      <c r="B14" s="113">
        <f>'Initiation &amp; Maintenance'!D7</f>
        <v>0</v>
      </c>
      <c r="C14" s="208">
        <f>B50*B14</f>
        <v>0</v>
      </c>
      <c r="D14" s="52" t="s">
        <v>58</v>
      </c>
      <c r="E14" s="197"/>
      <c r="F14" s="204">
        <f>B50*B14</f>
        <v>0</v>
      </c>
      <c r="G14" s="197"/>
      <c r="H14" s="197"/>
      <c r="I14" s="197"/>
      <c r="J14" s="197"/>
      <c r="L14" s="323" t="s">
        <v>276</v>
      </c>
    </row>
    <row r="15" spans="1:13" x14ac:dyDescent="0.3">
      <c r="A15" s="48" t="s">
        <v>16</v>
      </c>
      <c r="B15" s="113">
        <f>'Initiation &amp; Maintenance'!D8</f>
        <v>0</v>
      </c>
      <c r="C15" s="324">
        <f>B50*E15*3</f>
        <v>0</v>
      </c>
      <c r="D15" s="53" t="s">
        <v>47</v>
      </c>
      <c r="E15" s="198">
        <f>IF(B15="Yes",1,0)</f>
        <v>0</v>
      </c>
      <c r="F15" s="204">
        <f>B50*E15*3</f>
        <v>0</v>
      </c>
      <c r="G15" s="198"/>
      <c r="H15" s="198"/>
      <c r="I15" s="198"/>
      <c r="J15" s="198"/>
    </row>
    <row r="16" spans="1:13" x14ac:dyDescent="0.3">
      <c r="A16" s="48" t="s">
        <v>213</v>
      </c>
      <c r="B16" s="113">
        <f>'Initiation &amp; Maintenance'!D9</f>
        <v>0</v>
      </c>
      <c r="C16" s="324">
        <f>B50*E16*1.5</f>
        <v>0</v>
      </c>
      <c r="D16" s="53" t="s">
        <v>47</v>
      </c>
      <c r="E16" s="198">
        <f t="shared" ref="E16:E19" si="0">IF(B16="Yes",1,0)</f>
        <v>0</v>
      </c>
      <c r="F16" s="204">
        <f>B50*E16*1.5</f>
        <v>0</v>
      </c>
      <c r="G16" s="198"/>
      <c r="H16" s="198"/>
      <c r="I16" s="198"/>
      <c r="J16" s="198"/>
    </row>
    <row r="17" spans="1:12" ht="13.8" hidden="1" customHeight="1" x14ac:dyDescent="0.3">
      <c r="A17" s="48" t="s">
        <v>17</v>
      </c>
      <c r="B17" s="113" t="s">
        <v>49</v>
      </c>
      <c r="C17" s="208">
        <f>B50*0.5*E17</f>
        <v>0</v>
      </c>
      <c r="D17" s="53" t="s">
        <v>47</v>
      </c>
      <c r="E17" s="12">
        <f t="shared" si="0"/>
        <v>0</v>
      </c>
      <c r="F17" s="204"/>
    </row>
    <row r="18" spans="1:12" hidden="1" x14ac:dyDescent="0.3">
      <c r="A18" s="48" t="s">
        <v>18</v>
      </c>
      <c r="B18" s="113"/>
      <c r="C18" s="208">
        <v>0</v>
      </c>
      <c r="D18" s="53" t="s">
        <v>47</v>
      </c>
      <c r="E18" s="197">
        <f t="shared" si="0"/>
        <v>0</v>
      </c>
      <c r="F18" s="204">
        <v>0</v>
      </c>
      <c r="G18" s="197"/>
      <c r="H18" s="197"/>
      <c r="I18" s="197"/>
      <c r="J18" s="197"/>
    </row>
    <row r="19" spans="1:12" hidden="1" x14ac:dyDescent="0.3">
      <c r="A19" s="49" t="s">
        <v>19</v>
      </c>
      <c r="B19" s="113"/>
      <c r="C19" s="208">
        <v>0</v>
      </c>
      <c r="D19" s="54" t="s">
        <v>47</v>
      </c>
      <c r="E19" s="198">
        <f t="shared" si="0"/>
        <v>0</v>
      </c>
      <c r="F19" s="204">
        <v>0</v>
      </c>
      <c r="G19" s="198"/>
      <c r="H19" s="198"/>
      <c r="I19" s="198"/>
      <c r="J19" s="198"/>
    </row>
    <row r="20" spans="1:12" x14ac:dyDescent="0.3">
      <c r="A20" s="56"/>
      <c r="B20" s="57"/>
      <c r="C20" s="58"/>
      <c r="D20" s="59"/>
      <c r="E20" s="198"/>
      <c r="F20" s="198"/>
      <c r="G20" s="198"/>
      <c r="H20" s="198"/>
      <c r="I20" s="198"/>
      <c r="J20" s="198"/>
    </row>
    <row r="21" spans="1:12" ht="28.8" x14ac:dyDescent="0.3">
      <c r="A21" s="48" t="s">
        <v>193</v>
      </c>
      <c r="B21" s="113">
        <f>'Initiation &amp; Maintenance'!D10</f>
        <v>0</v>
      </c>
      <c r="C21" s="208">
        <f>B21*B50</f>
        <v>0</v>
      </c>
      <c r="D21" s="52" t="s">
        <v>198</v>
      </c>
      <c r="E21" s="198"/>
      <c r="F21" s="203">
        <f>B21*B50</f>
        <v>0</v>
      </c>
      <c r="G21" s="198"/>
      <c r="H21" s="198"/>
      <c r="I21" s="198"/>
      <c r="J21" s="198"/>
    </row>
    <row r="22" spans="1:12" x14ac:dyDescent="0.3">
      <c r="A22" s="48" t="s">
        <v>20</v>
      </c>
      <c r="B22" s="113">
        <f>'Initiation &amp; Maintenance'!D11</f>
        <v>0</v>
      </c>
      <c r="C22" s="324">
        <f>1*B50*E22</f>
        <v>0</v>
      </c>
      <c r="D22" s="53" t="s">
        <v>47</v>
      </c>
      <c r="E22" s="198">
        <f t="shared" ref="E22" si="1">IF(B22="Yes",1,0)</f>
        <v>0</v>
      </c>
      <c r="F22" s="203">
        <f>1*B50*E22</f>
        <v>0</v>
      </c>
      <c r="G22" s="198"/>
      <c r="H22" s="198"/>
      <c r="I22" s="198"/>
      <c r="J22" s="198"/>
    </row>
    <row r="23" spans="1:12" ht="28.8" x14ac:dyDescent="0.3">
      <c r="A23" s="48" t="s">
        <v>277</v>
      </c>
      <c r="B23" s="156">
        <f>'Initiation &amp; Maintenance'!D14</f>
        <v>0</v>
      </c>
      <c r="C23" s="324">
        <f>2*B50*E23</f>
        <v>0</v>
      </c>
      <c r="D23" s="53" t="s">
        <v>47</v>
      </c>
      <c r="E23" s="198">
        <f>IF(B23="Yes",1,0)</f>
        <v>0</v>
      </c>
      <c r="F23" s="203">
        <f>2*B50*E23</f>
        <v>0</v>
      </c>
      <c r="G23" s="198"/>
      <c r="H23" s="198"/>
      <c r="I23" s="198"/>
      <c r="J23" s="198"/>
      <c r="L23" s="323" t="s">
        <v>278</v>
      </c>
    </row>
    <row r="24" spans="1:12" ht="28.8" x14ac:dyDescent="0.3">
      <c r="A24" s="48" t="s">
        <v>21</v>
      </c>
      <c r="B24" s="113">
        <f>'Initiation &amp; Maintenance'!D13</f>
        <v>0</v>
      </c>
      <c r="C24" s="208">
        <f>E24*(B50+B51)</f>
        <v>0</v>
      </c>
      <c r="D24" s="53" t="s">
        <v>47</v>
      </c>
      <c r="E24" s="198">
        <f>IF(B24="Yes",1,0)</f>
        <v>0</v>
      </c>
      <c r="F24" s="203">
        <f>E24*(B50+B51)</f>
        <v>0</v>
      </c>
      <c r="G24" s="198"/>
      <c r="H24" s="198"/>
      <c r="I24" s="198"/>
      <c r="J24" s="198"/>
    </row>
    <row r="25" spans="1:12" ht="21.6" hidden="1" customHeight="1" x14ac:dyDescent="0.3">
      <c r="A25" s="48" t="s">
        <v>22</v>
      </c>
      <c r="B25" s="113"/>
      <c r="C25" s="208">
        <f>B25*0</f>
        <v>0</v>
      </c>
      <c r="D25" s="52" t="s">
        <v>51</v>
      </c>
      <c r="E25" s="198"/>
      <c r="F25" s="203">
        <f>B25*B51*2</f>
        <v>0</v>
      </c>
      <c r="G25" s="198"/>
      <c r="H25" s="198"/>
      <c r="I25" s="198"/>
      <c r="J25" s="198"/>
    </row>
    <row r="26" spans="1:12" ht="23.4" customHeight="1" x14ac:dyDescent="0.3">
      <c r="A26" s="48" t="s">
        <v>23</v>
      </c>
      <c r="B26" s="113">
        <f>'Initiation &amp; Maintenance'!D12</f>
        <v>0</v>
      </c>
      <c r="C26" s="324">
        <f>E26*B50*2</f>
        <v>0</v>
      </c>
      <c r="D26" s="53" t="s">
        <v>47</v>
      </c>
      <c r="E26" s="198">
        <f t="shared" ref="E26:E27" si="2">IF(B26="Yes",1,0)</f>
        <v>0</v>
      </c>
      <c r="F26" s="203">
        <f>E26*B50*2</f>
        <v>0</v>
      </c>
      <c r="G26" s="198"/>
      <c r="H26" s="198"/>
      <c r="I26" s="198"/>
      <c r="J26" s="198"/>
    </row>
    <row r="27" spans="1:12" ht="28.8" x14ac:dyDescent="0.3">
      <c r="A27" s="48" t="s">
        <v>24</v>
      </c>
      <c r="B27" s="113">
        <f>'Initiation &amp; Maintenance'!D15</f>
        <v>0</v>
      </c>
      <c r="C27" s="209">
        <v>0</v>
      </c>
      <c r="D27" s="53" t="s">
        <v>47</v>
      </c>
      <c r="E27" s="198">
        <f t="shared" si="2"/>
        <v>0</v>
      </c>
      <c r="F27" s="202">
        <v>0</v>
      </c>
      <c r="G27" s="198"/>
      <c r="H27" s="198"/>
      <c r="I27" s="198"/>
      <c r="J27" s="198"/>
    </row>
    <row r="28" spans="1:12" ht="43.2" x14ac:dyDescent="0.3">
      <c r="A28" s="48" t="s">
        <v>52</v>
      </c>
      <c r="B28" s="210">
        <f>'Initiation &amp; Maintenance'!D16</f>
        <v>0</v>
      </c>
      <c r="C28" s="211">
        <f>(B50 + (B28-1)*0.5*B50)*E27</f>
        <v>0</v>
      </c>
      <c r="D28" s="212" t="s">
        <v>59</v>
      </c>
      <c r="E28" s="198"/>
      <c r="F28" s="203">
        <f>(B50 + (B28-1)*0.5*B50)*E27</f>
        <v>0</v>
      </c>
      <c r="G28" s="198"/>
      <c r="H28" s="198"/>
      <c r="I28" s="198"/>
      <c r="J28" s="198"/>
    </row>
    <row r="29" spans="1:12" ht="35.4" hidden="1" customHeight="1" x14ac:dyDescent="0.3">
      <c r="A29" s="218" t="s">
        <v>153</v>
      </c>
      <c r="B29" s="683"/>
      <c r="C29" s="684"/>
      <c r="D29" s="685"/>
      <c r="E29" s="198"/>
      <c r="F29" s="202">
        <v>0</v>
      </c>
      <c r="G29" s="198"/>
      <c r="H29" s="198"/>
      <c r="I29" s="198"/>
      <c r="J29" s="198"/>
    </row>
    <row r="30" spans="1:12" x14ac:dyDescent="0.3">
      <c r="A30" s="686"/>
      <c r="B30" s="582"/>
      <c r="C30" s="582"/>
      <c r="D30" s="582"/>
    </row>
    <row r="31" spans="1:12" ht="17.25" customHeight="1" x14ac:dyDescent="0.35">
      <c r="A31" s="655" t="s">
        <v>26</v>
      </c>
      <c r="B31" s="655"/>
      <c r="C31" s="655"/>
      <c r="D31" s="656"/>
      <c r="E31" s="197"/>
      <c r="F31" s="202"/>
      <c r="G31" s="197"/>
      <c r="H31" s="197"/>
      <c r="I31" s="197"/>
      <c r="J31" s="197"/>
    </row>
    <row r="32" spans="1:12" ht="28.8" x14ac:dyDescent="0.3">
      <c r="A32" s="325" t="s">
        <v>154</v>
      </c>
      <c r="B32" s="326">
        <f>'Initiation &amp; Maintenance'!D17</f>
        <v>0</v>
      </c>
      <c r="C32" s="324">
        <v>0</v>
      </c>
      <c r="D32" s="53" t="s">
        <v>47</v>
      </c>
      <c r="E32" s="198">
        <f t="shared" ref="E32" si="3">IF(B32="Yes",1,0)</f>
        <v>0</v>
      </c>
      <c r="F32" s="202">
        <v>0</v>
      </c>
      <c r="G32" s="198"/>
      <c r="H32" s="198"/>
      <c r="I32" s="198"/>
      <c r="J32" s="198"/>
    </row>
    <row r="33" spans="1:12" ht="28.8" x14ac:dyDescent="0.3">
      <c r="A33" s="325" t="s">
        <v>27</v>
      </c>
      <c r="B33" s="326">
        <f>'Initiation &amp; Maintenance'!D18</f>
        <v>0</v>
      </c>
      <c r="C33" s="324">
        <f>IF(B32="",0,IF(B32="Yes",1*B50,0))</f>
        <v>0</v>
      </c>
      <c r="D33" s="52" t="s">
        <v>53</v>
      </c>
      <c r="E33" s="198"/>
      <c r="F33" s="203">
        <f>IF(B32="",0,IF(B32="Yes",1*B50,0))</f>
        <v>0</v>
      </c>
      <c r="G33" s="198"/>
      <c r="H33" s="198"/>
      <c r="I33" s="198"/>
      <c r="J33" s="198"/>
      <c r="L33" s="323" t="s">
        <v>279</v>
      </c>
    </row>
    <row r="34" spans="1:12" ht="15.6" x14ac:dyDescent="0.3">
      <c r="A34" s="658" t="s">
        <v>28</v>
      </c>
      <c r="B34" s="659"/>
      <c r="C34" s="659"/>
      <c r="D34" s="660"/>
      <c r="E34" s="198"/>
      <c r="F34" s="202"/>
      <c r="G34" s="198"/>
      <c r="H34" s="198"/>
      <c r="I34" s="198"/>
      <c r="J34" s="198"/>
    </row>
    <row r="35" spans="1:12" ht="28.8" x14ac:dyDescent="0.3">
      <c r="A35" s="48" t="s">
        <v>195</v>
      </c>
      <c r="B35" s="114"/>
      <c r="C35" s="209">
        <f>E35*0</f>
        <v>0</v>
      </c>
      <c r="D35" s="53" t="s">
        <v>47</v>
      </c>
      <c r="E35" s="198">
        <f t="shared" ref="E35:E37" si="4">IF(B35="Yes",1,0)</f>
        <v>0</v>
      </c>
      <c r="F35" s="203">
        <f>E35*B50</f>
        <v>0</v>
      </c>
      <c r="G35" s="198"/>
      <c r="H35" s="198"/>
      <c r="I35" s="198"/>
      <c r="J35" s="198"/>
    </row>
    <row r="36" spans="1:12" ht="28.8" x14ac:dyDescent="0.3">
      <c r="A36" s="48" t="s">
        <v>29</v>
      </c>
      <c r="B36" s="114">
        <f>'Initiation &amp; Maintenance'!D19</f>
        <v>0</v>
      </c>
      <c r="C36" s="209">
        <f>E36*B50*2</f>
        <v>0</v>
      </c>
      <c r="D36" s="53" t="s">
        <v>47</v>
      </c>
      <c r="E36" s="198">
        <f t="shared" si="4"/>
        <v>0</v>
      </c>
      <c r="F36" s="203">
        <f>2*E36*B50</f>
        <v>0</v>
      </c>
      <c r="G36" s="198"/>
      <c r="H36" s="198"/>
      <c r="I36" s="198"/>
      <c r="J36" s="198"/>
    </row>
    <row r="37" spans="1:12" ht="31.2" customHeight="1" x14ac:dyDescent="0.3">
      <c r="A37" s="48" t="s">
        <v>194</v>
      </c>
      <c r="B37" s="221">
        <f>'Initiation &amp; Maintenance'!D20</f>
        <v>0</v>
      </c>
      <c r="C37" s="222">
        <f>4*E37*B50 + 2*E37*B51</f>
        <v>0</v>
      </c>
      <c r="D37" s="52" t="s">
        <v>60</v>
      </c>
      <c r="E37" s="198">
        <f t="shared" si="4"/>
        <v>0</v>
      </c>
      <c r="F37" s="203">
        <f>4*E37*B50 + 2*E37*B51</f>
        <v>0</v>
      </c>
      <c r="G37" s="198"/>
      <c r="H37" s="198"/>
      <c r="I37" s="198"/>
      <c r="J37" s="198"/>
    </row>
    <row r="38" spans="1:12" ht="10.199999999999999" hidden="1" customHeight="1" x14ac:dyDescent="0.3">
      <c r="A38" s="214" t="s">
        <v>25</v>
      </c>
      <c r="B38" s="687"/>
      <c r="C38" s="688"/>
      <c r="D38" s="689"/>
      <c r="E38" s="198"/>
      <c r="F38" s="202">
        <v>0</v>
      </c>
      <c r="G38" s="198"/>
      <c r="H38" s="198"/>
      <c r="I38" s="198"/>
      <c r="J38" s="198"/>
      <c r="K38" s="213"/>
    </row>
    <row r="39" spans="1:12" x14ac:dyDescent="0.3">
      <c r="A39" s="677"/>
      <c r="B39" s="447"/>
      <c r="C39" s="447"/>
      <c r="D39" s="447"/>
    </row>
    <row r="40" spans="1:12" ht="18.75" customHeight="1" x14ac:dyDescent="0.35">
      <c r="A40" s="655" t="s">
        <v>30</v>
      </c>
      <c r="B40" s="655"/>
      <c r="C40" s="655"/>
      <c r="D40" s="657"/>
      <c r="E40" s="197"/>
      <c r="F40" s="197"/>
      <c r="G40" s="197"/>
      <c r="H40" s="197"/>
      <c r="I40" s="197"/>
      <c r="J40" s="197"/>
    </row>
    <row r="41" spans="1:12" ht="43.2" x14ac:dyDescent="0.3">
      <c r="A41" s="48" t="s">
        <v>31</v>
      </c>
      <c r="B41" s="113">
        <f>'Initiation &amp; Maintenance'!D21</f>
        <v>0</v>
      </c>
      <c r="C41" s="208"/>
      <c r="D41" s="53" t="s">
        <v>47</v>
      </c>
      <c r="E41" s="198"/>
      <c r="F41" s="200">
        <v>0</v>
      </c>
      <c r="G41" s="198"/>
      <c r="H41" s="198"/>
      <c r="I41" s="198"/>
      <c r="J41" s="198"/>
    </row>
    <row r="42" spans="1:12" ht="28.8" x14ac:dyDescent="0.3">
      <c r="A42" s="48" t="s">
        <v>32</v>
      </c>
      <c r="B42" s="113">
        <f>'Initiation &amp; Maintenance'!D22</f>
        <v>0</v>
      </c>
      <c r="C42" s="208">
        <f>B52*B42*3</f>
        <v>0</v>
      </c>
      <c r="D42" s="53" t="s">
        <v>33</v>
      </c>
      <c r="E42" s="198"/>
      <c r="F42" s="205">
        <f>B52*B42*3</f>
        <v>0</v>
      </c>
      <c r="G42" s="198"/>
      <c r="H42" s="198"/>
      <c r="I42" s="198"/>
      <c r="J42" s="198"/>
    </row>
    <row r="43" spans="1:12" ht="72" x14ac:dyDescent="0.3">
      <c r="A43" s="48" t="s">
        <v>34</v>
      </c>
      <c r="B43" s="113">
        <f>'Initiation &amp; Maintenance'!D23</f>
        <v>0</v>
      </c>
      <c r="C43" s="208">
        <f>B50*B43</f>
        <v>0</v>
      </c>
      <c r="D43" s="52" t="s">
        <v>61</v>
      </c>
      <c r="E43" s="198"/>
      <c r="F43" s="205">
        <f>B50*B43</f>
        <v>0</v>
      </c>
      <c r="G43" s="198"/>
      <c r="H43" s="198"/>
      <c r="I43" s="198"/>
      <c r="J43" s="198"/>
    </row>
    <row r="44" spans="1:12" ht="28.8" x14ac:dyDescent="0.3">
      <c r="A44" s="48" t="s">
        <v>35</v>
      </c>
      <c r="B44" s="113">
        <f>'Initiation &amp; Maintenance'!D24</f>
        <v>0</v>
      </c>
      <c r="C44" s="208">
        <f>2*B50*E44</f>
        <v>0</v>
      </c>
      <c r="D44" s="53" t="s">
        <v>47</v>
      </c>
      <c r="E44" s="198">
        <f t="shared" ref="E44:E45" si="5">IF(B44="Yes",1,0)</f>
        <v>0</v>
      </c>
      <c r="F44" s="205">
        <f>2*B50*E44</f>
        <v>0</v>
      </c>
      <c r="G44" s="198"/>
      <c r="H44" s="198"/>
      <c r="I44" s="198"/>
      <c r="J44" s="198"/>
    </row>
    <row r="45" spans="1:12" ht="43.2" x14ac:dyDescent="0.3">
      <c r="A45" s="48" t="s">
        <v>36</v>
      </c>
      <c r="B45" s="215">
        <f>'Initiation &amp; Maintenance'!D25</f>
        <v>0</v>
      </c>
      <c r="C45" s="216">
        <f>4*B50*E45</f>
        <v>0</v>
      </c>
      <c r="D45" s="217" t="s">
        <v>47</v>
      </c>
      <c r="E45" s="198">
        <f t="shared" si="5"/>
        <v>0</v>
      </c>
      <c r="F45" s="205">
        <f>4*B50*E45</f>
        <v>0</v>
      </c>
      <c r="G45" s="198"/>
      <c r="H45" s="198"/>
      <c r="I45" s="198"/>
      <c r="J45" s="198"/>
    </row>
    <row r="46" spans="1:12" ht="88.2" customHeight="1" x14ac:dyDescent="0.3">
      <c r="A46" s="219" t="s">
        <v>153</v>
      </c>
      <c r="B46" s="674"/>
      <c r="C46" s="675"/>
      <c r="D46" s="676"/>
      <c r="F46" s="201">
        <v>0</v>
      </c>
    </row>
    <row r="47" spans="1:12" x14ac:dyDescent="0.3">
      <c r="A47" s="677"/>
      <c r="B47" s="447"/>
      <c r="C47" s="447"/>
      <c r="D47" s="447"/>
    </row>
    <row r="48" spans="1:12" ht="18.75" customHeight="1" x14ac:dyDescent="0.35">
      <c r="A48" s="653" t="s">
        <v>37</v>
      </c>
      <c r="B48" s="653"/>
      <c r="C48" s="653"/>
      <c r="D48" s="15"/>
    </row>
    <row r="49" spans="1:10" ht="15.6" x14ac:dyDescent="0.3">
      <c r="A49" s="16" t="s">
        <v>38</v>
      </c>
      <c r="B49" s="22" t="s">
        <v>39</v>
      </c>
      <c r="C49" s="17"/>
      <c r="D49" s="18"/>
    </row>
    <row r="50" spans="1:10" ht="15.6" x14ac:dyDescent="0.3">
      <c r="A50" s="16" t="s">
        <v>40</v>
      </c>
      <c r="B50" s="23">
        <v>154</v>
      </c>
      <c r="C50" s="17"/>
      <c r="D50" s="19" t="s">
        <v>41</v>
      </c>
    </row>
    <row r="51" spans="1:10" ht="15.6" x14ac:dyDescent="0.3">
      <c r="A51" s="16" t="s">
        <v>42</v>
      </c>
      <c r="B51" s="23">
        <f>56*1.25</f>
        <v>70</v>
      </c>
      <c r="C51" s="17"/>
      <c r="D51" s="19" t="s">
        <v>43</v>
      </c>
    </row>
    <row r="52" spans="1:10" ht="15.6" x14ac:dyDescent="0.3">
      <c r="A52" s="16" t="s">
        <v>44</v>
      </c>
      <c r="B52" s="23">
        <v>154</v>
      </c>
      <c r="C52" s="17"/>
      <c r="D52" s="19" t="s">
        <v>45</v>
      </c>
    </row>
    <row r="55" spans="1:10" ht="21" x14ac:dyDescent="0.4">
      <c r="A55" s="654" t="s">
        <v>46</v>
      </c>
      <c r="B55" s="654"/>
      <c r="C55" s="20"/>
      <c r="D55" s="20">
        <f>SUM(F3:F19, F21:F29,F32:F38,F41:F46)</f>
        <v>390</v>
      </c>
      <c r="F55" s="207">
        <f>SUM(F3:F54)</f>
        <v>390</v>
      </c>
    </row>
    <row r="56" spans="1:10" x14ac:dyDescent="0.3">
      <c r="E56" s="206"/>
      <c r="F56" s="206"/>
      <c r="G56" s="206"/>
      <c r="H56" s="206"/>
      <c r="I56" s="206"/>
      <c r="J56" s="206"/>
    </row>
    <row r="57" spans="1:10" x14ac:dyDescent="0.3">
      <c r="A57" s="220"/>
      <c r="E57" s="206"/>
      <c r="F57" s="206"/>
      <c r="G57" s="206"/>
      <c r="H57" s="206"/>
      <c r="I57" s="206"/>
      <c r="J57" s="206"/>
    </row>
  </sheetData>
  <sheetProtection algorithmName="SHA-512" hashValue="/1xZUJKtOUocegUhTNrJlW1Lvff73ioWhg7lzMH5W8NYvgdy+gFSkIvVXE8+r09QW6H0VtkFVG4FEZfK13X0EQ==" saltValue="nkCYPtr1HRwa4K00pgr7Hg==" spinCount="100000" sheet="1" selectLockedCells="1"/>
  <mergeCells count="20">
    <mergeCell ref="F3:F7"/>
    <mergeCell ref="F8:F12"/>
    <mergeCell ref="B29:D29"/>
    <mergeCell ref="A30:D30"/>
    <mergeCell ref="A39:D39"/>
    <mergeCell ref="B38:D38"/>
    <mergeCell ref="A1:D1"/>
    <mergeCell ref="A48:C48"/>
    <mergeCell ref="A55:B55"/>
    <mergeCell ref="A31:D31"/>
    <mergeCell ref="A40:D40"/>
    <mergeCell ref="A34:D34"/>
    <mergeCell ref="A3:A7"/>
    <mergeCell ref="B3:B7"/>
    <mergeCell ref="C3:C7"/>
    <mergeCell ref="A8:A12"/>
    <mergeCell ref="B8:B12"/>
    <mergeCell ref="C8:C12"/>
    <mergeCell ref="B46:D46"/>
    <mergeCell ref="A47:D47"/>
  </mergeCells>
  <conditionalFormatting sqref="A1 E1:XFD1 A2:XFD2 A3:B3 D3:E7 G3:XFD7 A8:C8 E8:XFD8 E9:E12 G9:XFD12 A13:XFD22 C23:XFD23 A23:A24 B24:XFD24 A25:XFD28 B29 A29:A31 E29:XFD31 A32:XFD33 A34 E34:XFD34 A35:XFD37 B38 E38:XFD40 A41:XFD45 A46:B46 E46:XFD47 D48:XFD48 A49:XFD49 D50:XFD50 A51:XFD54 E55:XFD55 A56:XFD1048576">
    <cfRule type="containsText" dxfId="4" priority="6" operator="containsText" text="No selection required">
      <formula>NOT(ISERROR(SEARCH("No selection required",A1)))</formula>
    </cfRule>
  </conditionalFormatting>
  <conditionalFormatting sqref="A38:A40">
    <cfRule type="containsText" dxfId="3" priority="5" operator="containsText" text="No selection required">
      <formula>NOT(ISERROR(SEARCH("No selection required",A38)))</formula>
    </cfRule>
  </conditionalFormatting>
  <conditionalFormatting sqref="A47:A48">
    <cfRule type="containsText" dxfId="2" priority="3" operator="containsText" text="No selection required">
      <formula>NOT(ISERROR(SEARCH("No selection required",A47)))</formula>
    </cfRule>
  </conditionalFormatting>
  <conditionalFormatting sqref="A55">
    <cfRule type="containsText" dxfId="1" priority="4" operator="containsText" text="No selection required">
      <formula>NOT(ISERROR(SEARCH("No selection required",A55)))</formula>
    </cfRule>
  </conditionalFormatting>
  <conditionalFormatting sqref="D8:D12">
    <cfRule type="containsText" dxfId="0" priority="1" operator="containsText" text="No selection required">
      <formula>NOT(ISERROR(SEARCH("No selection required",D8)))</formula>
    </cfRule>
  </conditionalFormatting>
  <dataValidations count="1">
    <dataValidation allowBlank="1" showInputMessage="1" showErrorMessage="1" error="Yes or No" sqref="B35:B37" xr:uid="{D57746A4-BE45-4816-9F8D-C8E450D12728}"/>
  </dataValidations>
  <pageMargins left="0.7" right="0.7" top="0.75" bottom="0.75" header="0.3" footer="0.3"/>
  <pageSetup scale="6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Instructions</vt:lpstr>
      <vt:lpstr>Cover Sheet &amp; Medications</vt:lpstr>
      <vt:lpstr>Initiation &amp; Maintenance</vt:lpstr>
      <vt:lpstr>Dispensing</vt:lpstr>
      <vt:lpstr>Manufacturing-Testing-Other</vt:lpstr>
      <vt:lpstr>Estimate Details</vt:lpstr>
      <vt:lpstr>IDS Admin Dispensing</vt:lpstr>
      <vt:lpstr>Drug &amp; Supply Prices</vt:lpstr>
      <vt:lpstr>Start Calc</vt:lpstr>
      <vt:lpstr>Main Calc</vt:lpstr>
      <vt:lpstr>'Manufacturing-Testing-Other'!Print_Area</vt:lpstr>
    </vt:vector>
  </TitlesOfParts>
  <Company>PMACS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Molli, Charles A</cp:lastModifiedBy>
  <cp:lastPrinted>2023-06-29T15:24:57Z</cp:lastPrinted>
  <dcterms:created xsi:type="dcterms:W3CDTF">2019-06-10T15:45:18Z</dcterms:created>
  <dcterms:modified xsi:type="dcterms:W3CDTF">2025-08-07T17:28:12Z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